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slicers/slicer1.xml" ContentType="application/vnd.ms-excel.slicer+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heme/themeOverride1.xml" ContentType="application/vnd.openxmlformats-officedocument.themeOverrid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theme/themeOverride2.xml" ContentType="application/vnd.openxmlformats-officedocument.themeOverrid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3.xml" ContentType="application/vnd.openxmlformats-officedocument.themeOverrid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4.xml" ContentType="application/vnd.openxmlformats-officedocument.themeOverrid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5.xml" ContentType="application/vnd.openxmlformats-officedocument.themeOverrid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6.xml" ContentType="application/vnd.openxmlformats-officedocument.themeOverride+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queryTables/queryTable1.xml" ContentType="application/vnd.openxmlformats-officedocument.spreadsheetml.queryTable+xml"/>
  <Override PartName="/xl/tables/table7.xml" ContentType="application/vnd.openxmlformats-officedocument.spreadsheetml.table+xml"/>
  <Override PartName="/xl/queryTables/queryTable2.xml" ContentType="application/vnd.openxmlformats-officedocument.spreadsheetml.queryTable+xml"/>
  <Override PartName="/xl/tables/table8.xml" ContentType="application/vnd.openxmlformats-officedocument.spreadsheetml.table+xml"/>
  <Override PartName="/xl/queryTables/queryTable3.xml" ContentType="application/vnd.openxmlformats-officedocument.spreadsheetml.query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queryTables/queryTable4.xml" ContentType="application/vnd.openxmlformats-officedocument.spreadsheetml.query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customXml/itemProps8.xml" ContentType="application/vnd.openxmlformats-officedocument.customXmlProperties+xml"/>
  <Override PartName="/customXml/itemProps9.xml" ContentType="application/vnd.openxmlformats-officedocument.customXmlProperties+xml"/>
  <Override PartName="/customXml/itemProps10.xml" ContentType="application/vnd.openxmlformats-officedocument.customXmlProperties+xml"/>
  <Override PartName="/customXml/itemProps11.xml" ContentType="application/vnd.openxmlformats-officedocument.customXmlProperties+xml"/>
  <Override PartName="/customXml/itemProps12.xml" ContentType="application/vnd.openxmlformats-officedocument.customXmlProperties+xml"/>
  <Override PartName="/customXml/itemProps13.xml" ContentType="application/vnd.openxmlformats-officedocument.customXmlProperties+xml"/>
  <Override PartName="/customXml/itemProps14.xml" ContentType="application/vnd.openxmlformats-officedocument.customXmlProperties+xml"/>
  <Override PartName="/customXml/itemProps15.xml" ContentType="application/vnd.openxmlformats-officedocument.customXmlProperties+xml"/>
  <Override PartName="/customXml/itemProps16.xml" ContentType="application/vnd.openxmlformats-officedocument.customXmlProperties+xml"/>
  <Override PartName="/customXml/itemProps17.xml" ContentType="application/vnd.openxmlformats-officedocument.customXmlProperties+xml"/>
  <Override PartName="/customXml/itemProps18.xml" ContentType="application/vnd.openxmlformats-officedocument.customXmlProperties+xml"/>
  <Override PartName="/customXml/itemProps19.xml" ContentType="application/vnd.openxmlformats-officedocument.customXmlProperties+xml"/>
  <Override PartName="/customXml/itemProps20.xml" ContentType="application/vnd.openxmlformats-officedocument.customXmlProperties+xml"/>
  <Override PartName="/xl/vbaProject.bin" ContentType="application/vnd.ms-office.vbaProject"/>
  <Override PartName="/xl/vbaProjectSignature.bin" ContentType="application/vnd.ms-office.vbaProjectSignature"/>
  <Override PartName="/xl/vbaProjectSignatureAgile.bin" ContentType="application/vnd.ms-office.vbaProjectSignatureAgile"/>
  <Override PartName="/xl/vbaProjectSignatureV3.bin" ContentType="application/vnd.ms-office.vbaProjectSignatureV3"/>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codeName="{00000000-0000-0000-0000-000000000000}"/>
  <workbookPr codeName="DieseArbeitsmappe" hidePivotFieldList="1"/>
  <mc:AlternateContent xmlns:mc="http://schemas.openxmlformats.org/markup-compatibility/2006">
    <mc:Choice Requires="x15">
      <x15ac:absPath xmlns:x15ac="http://schemas.microsoft.com/office/spreadsheetml/2010/11/ac" url="M:\_Surf\04_Projekte\_Archiv\5404615_LeitRess\10_Ergebnisse\Upload\Dokumente\"/>
    </mc:Choice>
  </mc:AlternateContent>
  <xr:revisionPtr revIDLastSave="0" documentId="13_ncr:1_{7BB73C7E-0AF7-4257-8F7C-93A686A453AC}" xr6:coauthVersionLast="47" xr6:coauthVersionMax="47" xr10:uidLastSave="{00000000-0000-0000-0000-000000000000}"/>
  <workbookProtection lockStructure="1"/>
  <bookViews>
    <workbookView xWindow="-28920" yWindow="-13935" windowWidth="29040" windowHeight="17640" tabRatio="902" xr2:uid="{FF0A3760-D32E-4763-96D4-6B1BB121615B}"/>
  </bookViews>
  <sheets>
    <sheet name="Dashboard" sheetId="26" r:id="rId1"/>
    <sheet name="Ausgabe Tabellen" sheetId="17" r:id="rId2"/>
    <sheet name="Eingabe Baukonstruktion" sheetId="19" r:id="rId3"/>
    <sheet name="Eingabe Transport" sheetId="29" r:id="rId4"/>
    <sheet name="Baukon_alle_A1-A3+A4" sheetId="34" state="hidden" r:id="rId5"/>
    <sheet name="Baukon_alle_A4_join" sheetId="33" state="hidden" r:id="rId6"/>
    <sheet name="Baukon_alle_A1-A3" sheetId="20" state="hidden" r:id="rId7"/>
    <sheet name="Materialdaten" sheetId="10" r:id="rId8"/>
    <sheet name="Vorlage Baukonstruktionen " sheetId="3" r:id="rId9"/>
    <sheet name="Anhang" sheetId="32" r:id="rId10"/>
    <sheet name="Listen" sheetId="21" state="hidden" r:id="rId11"/>
  </sheets>
  <definedNames>
    <definedName name="_xlnm._FilterDatabase" localSheetId="8" hidden="1">'Vorlage Baukonstruktionen '!$A$17:$U$92</definedName>
    <definedName name="_xleta.MIN" hidden="1" xlm="1">#NAME?</definedName>
    <definedName name="Datenschnitt_ID_Baukonstruktion">#N/A</definedName>
    <definedName name="Datenschnitt_Kostengruppe">#N/A</definedName>
    <definedName name="Datenschnitt_Modul">#N/A</definedName>
    <definedName name="_xlnm.Print_Area" localSheetId="1">'Ausgabe Tabellen'!$A$1:$AZ$55</definedName>
    <definedName name="_xlnm.Print_Area" localSheetId="0">Dashboard!$A$1:$Z$401</definedName>
    <definedName name="_xlnm.Print_Area" localSheetId="2">'Eingabe Baukonstruktion'!$A$1:$AW$58</definedName>
    <definedName name="_xlnm.Print_Area" localSheetId="7">Materialdaten!$A$1:$AV$72</definedName>
    <definedName name="_xlnm.Print_Area" localSheetId="8">'Vorlage Baukonstruktionen '!$A$1:$Z$92</definedName>
    <definedName name="ExterneDaten_1" localSheetId="6" hidden="1">'Baukon_alle_A1-A3'!$A$1:$BC$87</definedName>
    <definedName name="ExterneDaten_2" localSheetId="9" hidden="1">Anhang!$A$1:$BE$173</definedName>
    <definedName name="ExterneDaten_3" localSheetId="4" hidden="1">'Baukon_alle_A1-A3+A4'!$A$1:$L$23</definedName>
    <definedName name="ExterneDaten_3" localSheetId="5" hidden="1">Baukon_alle_A4_join!$A$1:$M$87</definedName>
  </definedNames>
  <calcPr calcId="191028"/>
  <pivotCaches>
    <pivotCache cacheId="0" r:id="rId12"/>
  </pivotCaches>
  <extLst>
    <ext xmlns:x14="http://schemas.microsoft.com/office/spreadsheetml/2009/9/main" uri="{BBE1A952-AA13-448e-AADC-164F8A28A991}">
      <x14:slicerCaches>
        <x14:slicerCache r:id="rId13"/>
        <x14:slicerCache r:id="rId14"/>
        <x14:slicerCache r:id="rId15"/>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15="http://schemas.microsoft.com/office/spreadsheetml/2010/11/main" uri="{FCE2AD5D-F65C-4FA6-A056-5C36A1767C68}">
      <x15:dataModel>
        <x15:modelTables>
          <x15:modelTable id="Baukon_alle_A1-A3_results_7e1a2695-4a0e-415f-914a-e2010591b29d" name="Baukon_alle_A1-A3_results" connection="Abfrage - Baukon_alle_A1-A3_results"/>
          <x15:modelTable id="Baukon_alle_A4_join_8ed76499-e9d4-4fc6-a6cc-2705516914b0" name="Baukon_alle_A4_join" connection="Abfrage - Baukon_alle_A4_join"/>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2" i="33" l="1"/>
  <c r="N3" i="33"/>
  <c r="N4" i="33"/>
  <c r="N5" i="33"/>
  <c r="N6" i="33"/>
  <c r="N7" i="33"/>
  <c r="N8" i="33"/>
  <c r="N9" i="33"/>
  <c r="N10" i="33"/>
  <c r="N11" i="33"/>
  <c r="N12" i="33"/>
  <c r="N13" i="33"/>
  <c r="N14" i="33"/>
  <c r="N15" i="33"/>
  <c r="N16" i="33"/>
  <c r="N17" i="33"/>
  <c r="N18" i="33"/>
  <c r="N19" i="33"/>
  <c r="N20" i="33"/>
  <c r="N21" i="33"/>
  <c r="N22" i="33"/>
  <c r="N23" i="33"/>
  <c r="N24" i="33"/>
  <c r="N25" i="33"/>
  <c r="N26" i="33"/>
  <c r="N27" i="33"/>
  <c r="N28" i="33"/>
  <c r="N29" i="33"/>
  <c r="N30" i="33"/>
  <c r="N31" i="33"/>
  <c r="N32" i="33"/>
  <c r="N33" i="33"/>
  <c r="N34" i="33"/>
  <c r="N35" i="33"/>
  <c r="N36" i="33"/>
  <c r="N37" i="33"/>
  <c r="N38" i="33"/>
  <c r="N39" i="33"/>
  <c r="N40" i="33"/>
  <c r="N41" i="33"/>
  <c r="N42" i="33"/>
  <c r="N43" i="33"/>
  <c r="N44" i="33"/>
  <c r="N45" i="33"/>
  <c r="N46" i="33"/>
  <c r="N47" i="33"/>
  <c r="N48" i="33"/>
  <c r="N49" i="33"/>
  <c r="N50" i="33"/>
  <c r="N51" i="33"/>
  <c r="N52" i="33"/>
  <c r="N53" i="33"/>
  <c r="N54" i="33"/>
  <c r="N55" i="33"/>
  <c r="N56" i="33"/>
  <c r="N57" i="33"/>
  <c r="N58" i="33"/>
  <c r="N59" i="33"/>
  <c r="N60" i="33"/>
  <c r="N61" i="33"/>
  <c r="N62" i="33"/>
  <c r="N63" i="33"/>
  <c r="N64" i="33"/>
  <c r="N65" i="33"/>
  <c r="N66" i="33"/>
  <c r="N67" i="33"/>
  <c r="N68" i="33"/>
  <c r="N69" i="33"/>
  <c r="N70" i="33"/>
  <c r="N71" i="33"/>
  <c r="N72" i="33"/>
  <c r="N73" i="33"/>
  <c r="N74" i="33"/>
  <c r="N75" i="33"/>
  <c r="N76" i="33"/>
  <c r="N77" i="33"/>
  <c r="N78" i="33"/>
  <c r="N79" i="33"/>
  <c r="N80" i="33"/>
  <c r="N81" i="33"/>
  <c r="N82" i="33"/>
  <c r="N83" i="33"/>
  <c r="N84" i="33"/>
  <c r="N85" i="33"/>
  <c r="N86" i="33"/>
  <c r="N87" i="33"/>
  <c r="O2" i="33"/>
  <c r="O3" i="33"/>
  <c r="O4" i="33"/>
  <c r="O5" i="33"/>
  <c r="O6" i="33"/>
  <c r="O7" i="33"/>
  <c r="O8" i="33"/>
  <c r="O9" i="33"/>
  <c r="O10" i="33"/>
  <c r="O11" i="33"/>
  <c r="O12" i="33"/>
  <c r="O13" i="33"/>
  <c r="O14" i="33"/>
  <c r="O15" i="33"/>
  <c r="O16" i="33"/>
  <c r="O17" i="33"/>
  <c r="O18" i="33"/>
  <c r="O19" i="33"/>
  <c r="O20" i="33"/>
  <c r="O21" i="33"/>
  <c r="O22" i="33"/>
  <c r="O23" i="33"/>
  <c r="O24" i="33"/>
  <c r="O25" i="33"/>
  <c r="O26" i="33"/>
  <c r="O27" i="33"/>
  <c r="O28" i="33"/>
  <c r="O29" i="33"/>
  <c r="O30" i="33"/>
  <c r="O31" i="33"/>
  <c r="O32" i="33"/>
  <c r="O33" i="33"/>
  <c r="O34" i="33"/>
  <c r="O35" i="33"/>
  <c r="O36" i="33"/>
  <c r="O37" i="33"/>
  <c r="O38" i="33"/>
  <c r="O39" i="33"/>
  <c r="O40" i="33"/>
  <c r="O41" i="33"/>
  <c r="O42" i="33"/>
  <c r="O43" i="33"/>
  <c r="O44" i="33"/>
  <c r="O45" i="33"/>
  <c r="O46" i="33"/>
  <c r="O47" i="33"/>
  <c r="O48" i="33"/>
  <c r="O49" i="33"/>
  <c r="O50" i="33"/>
  <c r="O51" i="33"/>
  <c r="O52" i="33"/>
  <c r="O53" i="33"/>
  <c r="O54" i="33"/>
  <c r="O55" i="33"/>
  <c r="O56" i="33"/>
  <c r="O57" i="33"/>
  <c r="O58" i="33"/>
  <c r="O59" i="33"/>
  <c r="O60" i="33"/>
  <c r="O61" i="33"/>
  <c r="O62" i="33"/>
  <c r="O63" i="33"/>
  <c r="O64" i="33"/>
  <c r="O65" i="33"/>
  <c r="O66" i="33"/>
  <c r="O67" i="33"/>
  <c r="O68" i="33"/>
  <c r="O69" i="33"/>
  <c r="O70" i="33"/>
  <c r="O71" i="33"/>
  <c r="O72" i="33"/>
  <c r="O73" i="33"/>
  <c r="O74" i="33"/>
  <c r="O75" i="33"/>
  <c r="O76" i="33"/>
  <c r="O77" i="33"/>
  <c r="O78" i="33"/>
  <c r="O79" i="33"/>
  <c r="O80" i="33"/>
  <c r="O81" i="33"/>
  <c r="O82" i="33"/>
  <c r="O83" i="33"/>
  <c r="O84" i="33"/>
  <c r="O85" i="33"/>
  <c r="O86" i="33"/>
  <c r="O87" i="33"/>
  <c r="P2" i="33"/>
  <c r="P3" i="33"/>
  <c r="P4" i="33"/>
  <c r="P5" i="33"/>
  <c r="P6" i="33"/>
  <c r="P7" i="33"/>
  <c r="P8" i="33"/>
  <c r="P9" i="33"/>
  <c r="P10" i="33"/>
  <c r="P11" i="33"/>
  <c r="P12" i="33"/>
  <c r="P13" i="33"/>
  <c r="P14" i="33"/>
  <c r="P15" i="33"/>
  <c r="P16" i="33"/>
  <c r="P17" i="33"/>
  <c r="P18" i="33"/>
  <c r="P19" i="33"/>
  <c r="P20" i="33"/>
  <c r="P21" i="33"/>
  <c r="P22" i="33"/>
  <c r="P23" i="33"/>
  <c r="P24" i="33"/>
  <c r="P25" i="33"/>
  <c r="P26" i="33"/>
  <c r="P27" i="33"/>
  <c r="P28" i="33"/>
  <c r="P29" i="33"/>
  <c r="P30" i="33"/>
  <c r="P31" i="33"/>
  <c r="P32" i="33"/>
  <c r="P33" i="33"/>
  <c r="P34" i="33"/>
  <c r="P35" i="33"/>
  <c r="P36" i="33"/>
  <c r="P37" i="33"/>
  <c r="P38" i="33"/>
  <c r="P39" i="33"/>
  <c r="P40" i="33"/>
  <c r="P41" i="33"/>
  <c r="P42" i="33"/>
  <c r="P43" i="33"/>
  <c r="P44" i="33"/>
  <c r="P45" i="33"/>
  <c r="P46" i="33"/>
  <c r="P47" i="33"/>
  <c r="P48" i="33"/>
  <c r="P49" i="33"/>
  <c r="P50" i="33"/>
  <c r="P51" i="33"/>
  <c r="P52" i="33"/>
  <c r="P53" i="33"/>
  <c r="P54" i="33"/>
  <c r="P55" i="33"/>
  <c r="P56" i="33"/>
  <c r="P57" i="33"/>
  <c r="P58" i="33"/>
  <c r="P59" i="33"/>
  <c r="P60" i="33"/>
  <c r="P61" i="33"/>
  <c r="P62" i="33"/>
  <c r="P63" i="33"/>
  <c r="P64" i="33"/>
  <c r="P65" i="33"/>
  <c r="P66" i="33"/>
  <c r="P67" i="33"/>
  <c r="P68" i="33"/>
  <c r="P69" i="33"/>
  <c r="P70" i="33"/>
  <c r="P71" i="33"/>
  <c r="P72" i="33"/>
  <c r="P73" i="33"/>
  <c r="P74" i="33"/>
  <c r="P75" i="33"/>
  <c r="P76" i="33"/>
  <c r="P77" i="33"/>
  <c r="P78" i="33"/>
  <c r="P79" i="33"/>
  <c r="P80" i="33"/>
  <c r="P81" i="33"/>
  <c r="P82" i="33"/>
  <c r="P83" i="33"/>
  <c r="P84" i="33"/>
  <c r="P85" i="33"/>
  <c r="P86" i="33"/>
  <c r="P87" i="33"/>
  <c r="Q2" i="33"/>
  <c r="Q3" i="33"/>
  <c r="Q4" i="33"/>
  <c r="Q5" i="33"/>
  <c r="Q6" i="33"/>
  <c r="Q7" i="33"/>
  <c r="Q8" i="33"/>
  <c r="Q9" i="33"/>
  <c r="Q10" i="33"/>
  <c r="Q11" i="33"/>
  <c r="Q12" i="33"/>
  <c r="Q13" i="33"/>
  <c r="Q14" i="33"/>
  <c r="Q15" i="33"/>
  <c r="Q16" i="33"/>
  <c r="Q17" i="33"/>
  <c r="Q18" i="33"/>
  <c r="Q19" i="33"/>
  <c r="Q20" i="33"/>
  <c r="Q21" i="33"/>
  <c r="Q22" i="33"/>
  <c r="Q23" i="33"/>
  <c r="Q24" i="33"/>
  <c r="Q25" i="33"/>
  <c r="Q26" i="33"/>
  <c r="Q27" i="33"/>
  <c r="Q28" i="33"/>
  <c r="Q29" i="33"/>
  <c r="Q30" i="33"/>
  <c r="Q31" i="33"/>
  <c r="Q32" i="33"/>
  <c r="Q33" i="33"/>
  <c r="Q34" i="33"/>
  <c r="Q35" i="33"/>
  <c r="Q36" i="33"/>
  <c r="Q37" i="33"/>
  <c r="Q38" i="33"/>
  <c r="Q39" i="33"/>
  <c r="Q40" i="33"/>
  <c r="Q41" i="33"/>
  <c r="Q42" i="33"/>
  <c r="Q43" i="33"/>
  <c r="Q44" i="33"/>
  <c r="Q45" i="33"/>
  <c r="Q46" i="33"/>
  <c r="Q47" i="33"/>
  <c r="Q48" i="33"/>
  <c r="Q49" i="33"/>
  <c r="Q50" i="33"/>
  <c r="Q51" i="33"/>
  <c r="Q52" i="33"/>
  <c r="Q53" i="33"/>
  <c r="Q54" i="33"/>
  <c r="Q55" i="33"/>
  <c r="Q56" i="33"/>
  <c r="Q57" i="33"/>
  <c r="Q58" i="33"/>
  <c r="Q59" i="33"/>
  <c r="Q60" i="33"/>
  <c r="Q61" i="33"/>
  <c r="Q62" i="33"/>
  <c r="Q63" i="33"/>
  <c r="Q64" i="33"/>
  <c r="Q65" i="33"/>
  <c r="Q66" i="33"/>
  <c r="Q67" i="33"/>
  <c r="Q68" i="33"/>
  <c r="Q69" i="33"/>
  <c r="Q70" i="33"/>
  <c r="Q71" i="33"/>
  <c r="Q72" i="33"/>
  <c r="Q73" i="33"/>
  <c r="Q74" i="33"/>
  <c r="Q75" i="33"/>
  <c r="Q76" i="33"/>
  <c r="Q77" i="33"/>
  <c r="Q78" i="33"/>
  <c r="Q79" i="33"/>
  <c r="Q80" i="33"/>
  <c r="Q81" i="33"/>
  <c r="Q82" i="33"/>
  <c r="Q83" i="33"/>
  <c r="Q84" i="33"/>
  <c r="Q85" i="33"/>
  <c r="Q86" i="33"/>
  <c r="Q87" i="33"/>
  <c r="R2" i="33"/>
  <c r="R3" i="33"/>
  <c r="R4" i="33"/>
  <c r="R5" i="33"/>
  <c r="R6" i="33"/>
  <c r="R7" i="33"/>
  <c r="R8" i="33"/>
  <c r="R9" i="33"/>
  <c r="R10" i="33"/>
  <c r="R11" i="33"/>
  <c r="R12" i="33"/>
  <c r="R13" i="33"/>
  <c r="R14" i="33"/>
  <c r="R15" i="33"/>
  <c r="R16" i="33"/>
  <c r="R17" i="33"/>
  <c r="R18" i="33"/>
  <c r="R19" i="33"/>
  <c r="R20" i="33"/>
  <c r="R21" i="33"/>
  <c r="R22" i="33"/>
  <c r="R23" i="33"/>
  <c r="R24" i="33"/>
  <c r="R25" i="33"/>
  <c r="R26" i="33"/>
  <c r="R27" i="33"/>
  <c r="R28" i="33"/>
  <c r="R29" i="33"/>
  <c r="R30" i="33"/>
  <c r="R31" i="33"/>
  <c r="R32" i="33"/>
  <c r="R33" i="33"/>
  <c r="R34" i="33"/>
  <c r="R35" i="33"/>
  <c r="R36" i="33"/>
  <c r="R37" i="33"/>
  <c r="R38" i="33"/>
  <c r="R39" i="33"/>
  <c r="R40" i="33"/>
  <c r="R41" i="33"/>
  <c r="R42" i="33"/>
  <c r="R43" i="33"/>
  <c r="R44" i="33"/>
  <c r="R45" i="33"/>
  <c r="R46" i="33"/>
  <c r="R47" i="33"/>
  <c r="R48" i="33"/>
  <c r="R49" i="33"/>
  <c r="R50" i="33"/>
  <c r="R51" i="33"/>
  <c r="R52" i="33"/>
  <c r="R53" i="33"/>
  <c r="R54" i="33"/>
  <c r="R55" i="33"/>
  <c r="R56" i="33"/>
  <c r="R57" i="33"/>
  <c r="R58" i="33"/>
  <c r="R59" i="33"/>
  <c r="R60" i="33"/>
  <c r="R61" i="33"/>
  <c r="R62" i="33"/>
  <c r="R63" i="33"/>
  <c r="R64" i="33"/>
  <c r="R65" i="33"/>
  <c r="R66" i="33"/>
  <c r="R67" i="33"/>
  <c r="R68" i="33"/>
  <c r="R69" i="33"/>
  <c r="R70" i="33"/>
  <c r="R71" i="33"/>
  <c r="R72" i="33"/>
  <c r="R73" i="33"/>
  <c r="R74" i="33"/>
  <c r="R75" i="33"/>
  <c r="R76" i="33"/>
  <c r="R77" i="33"/>
  <c r="R78" i="33"/>
  <c r="R79" i="33"/>
  <c r="R80" i="33"/>
  <c r="R81" i="33"/>
  <c r="R82" i="33"/>
  <c r="R83" i="33"/>
  <c r="R84" i="33"/>
  <c r="R85" i="33"/>
  <c r="R86" i="33"/>
  <c r="R87" i="33"/>
  <c r="S2" i="33"/>
  <c r="S3" i="33"/>
  <c r="S4" i="33"/>
  <c r="S5" i="33"/>
  <c r="S6" i="33"/>
  <c r="S7" i="33"/>
  <c r="S8" i="33"/>
  <c r="S9" i="33"/>
  <c r="S10" i="33"/>
  <c r="S11" i="33"/>
  <c r="S12" i="33"/>
  <c r="S13" i="33"/>
  <c r="S14" i="33"/>
  <c r="S15" i="33"/>
  <c r="S16" i="33"/>
  <c r="S17" i="33"/>
  <c r="S18" i="33"/>
  <c r="S19" i="33"/>
  <c r="S20" i="33"/>
  <c r="S21" i="33"/>
  <c r="S22" i="33"/>
  <c r="S23" i="33"/>
  <c r="S24" i="33"/>
  <c r="S25" i="33"/>
  <c r="S26" i="33"/>
  <c r="S27" i="33"/>
  <c r="S28" i="33"/>
  <c r="S29" i="33"/>
  <c r="S30" i="33"/>
  <c r="S31" i="33"/>
  <c r="S32" i="33"/>
  <c r="S33" i="33"/>
  <c r="S34" i="33"/>
  <c r="S35" i="33"/>
  <c r="S36" i="33"/>
  <c r="S37" i="33"/>
  <c r="S38" i="33"/>
  <c r="S39" i="33"/>
  <c r="S40" i="33"/>
  <c r="S41" i="33"/>
  <c r="S42" i="33"/>
  <c r="S43" i="33"/>
  <c r="S44" i="33"/>
  <c r="S45" i="33"/>
  <c r="S46" i="33"/>
  <c r="S47" i="33"/>
  <c r="S48" i="33"/>
  <c r="S49" i="33"/>
  <c r="S50" i="33"/>
  <c r="S51" i="33"/>
  <c r="S52" i="33"/>
  <c r="S53" i="33"/>
  <c r="S54" i="33"/>
  <c r="S55" i="33"/>
  <c r="S56" i="33"/>
  <c r="S57" i="33"/>
  <c r="S58" i="33"/>
  <c r="S59" i="33"/>
  <c r="S60" i="33"/>
  <c r="S61" i="33"/>
  <c r="S62" i="33"/>
  <c r="S63" i="33"/>
  <c r="S64" i="33"/>
  <c r="S65" i="33"/>
  <c r="S66" i="33"/>
  <c r="S67" i="33"/>
  <c r="S68" i="33"/>
  <c r="S69" i="33"/>
  <c r="S70" i="33"/>
  <c r="S71" i="33"/>
  <c r="S72" i="33"/>
  <c r="S73" i="33"/>
  <c r="S74" i="33"/>
  <c r="S75" i="33"/>
  <c r="S76" i="33"/>
  <c r="S77" i="33"/>
  <c r="S78" i="33"/>
  <c r="S79" i="33"/>
  <c r="S80" i="33"/>
  <c r="S81" i="33"/>
  <c r="S82" i="33"/>
  <c r="S83" i="33"/>
  <c r="S84" i="33"/>
  <c r="S85" i="33"/>
  <c r="S86" i="33"/>
  <c r="S87" i="33"/>
  <c r="T2" i="33"/>
  <c r="T3" i="33"/>
  <c r="T4" i="33"/>
  <c r="T5" i="33"/>
  <c r="T6" i="33"/>
  <c r="T7" i="33"/>
  <c r="T8" i="33"/>
  <c r="T9" i="33"/>
  <c r="T10" i="33"/>
  <c r="T11" i="33"/>
  <c r="T12" i="33"/>
  <c r="T13" i="33"/>
  <c r="T14" i="33"/>
  <c r="T15" i="33"/>
  <c r="T16" i="33"/>
  <c r="T17" i="33"/>
  <c r="T18" i="33"/>
  <c r="T19" i="33"/>
  <c r="T20" i="33"/>
  <c r="T21" i="33"/>
  <c r="T22" i="33"/>
  <c r="T23" i="33"/>
  <c r="T24" i="33"/>
  <c r="T25" i="33"/>
  <c r="T26" i="33"/>
  <c r="T27" i="33"/>
  <c r="T28" i="33"/>
  <c r="T29" i="33"/>
  <c r="T30" i="33"/>
  <c r="T31" i="33"/>
  <c r="T32" i="33"/>
  <c r="T33" i="33"/>
  <c r="T34" i="33"/>
  <c r="T35" i="33"/>
  <c r="T36" i="33"/>
  <c r="T37" i="33"/>
  <c r="T38" i="33"/>
  <c r="T39" i="33"/>
  <c r="T40" i="33"/>
  <c r="T41" i="33"/>
  <c r="T42" i="33"/>
  <c r="T43" i="33"/>
  <c r="T44" i="33"/>
  <c r="T45" i="33"/>
  <c r="T46" i="33"/>
  <c r="T47" i="33"/>
  <c r="T48" i="33"/>
  <c r="T49" i="33"/>
  <c r="T50" i="33"/>
  <c r="T51" i="33"/>
  <c r="T52" i="33"/>
  <c r="T53" i="33"/>
  <c r="T54" i="33"/>
  <c r="T55" i="33"/>
  <c r="T56" i="33"/>
  <c r="T57" i="33"/>
  <c r="T58" i="33"/>
  <c r="T59" i="33"/>
  <c r="T60" i="33"/>
  <c r="T61" i="33"/>
  <c r="T62" i="33"/>
  <c r="T63" i="33"/>
  <c r="T64" i="33"/>
  <c r="T65" i="33"/>
  <c r="T66" i="33"/>
  <c r="T67" i="33"/>
  <c r="T68" i="33"/>
  <c r="T69" i="33"/>
  <c r="T70" i="33"/>
  <c r="T71" i="33"/>
  <c r="T72" i="33"/>
  <c r="T73" i="33"/>
  <c r="T74" i="33"/>
  <c r="T75" i="33"/>
  <c r="T76" i="33"/>
  <c r="T77" i="33"/>
  <c r="T78" i="33"/>
  <c r="T79" i="33"/>
  <c r="T80" i="33"/>
  <c r="T81" i="33"/>
  <c r="T82" i="33"/>
  <c r="T83" i="33"/>
  <c r="T84" i="33"/>
  <c r="T85" i="33"/>
  <c r="T86" i="33"/>
  <c r="T87" i="33"/>
  <c r="U2" i="33"/>
  <c r="U3" i="33"/>
  <c r="U4" i="33"/>
  <c r="U5" i="33"/>
  <c r="U6" i="33"/>
  <c r="U7" i="33"/>
  <c r="U8" i="33"/>
  <c r="U9" i="33"/>
  <c r="U10" i="33"/>
  <c r="U11" i="33"/>
  <c r="U12" i="33"/>
  <c r="U13" i="33"/>
  <c r="U14" i="33"/>
  <c r="U15" i="33"/>
  <c r="U16" i="33"/>
  <c r="U17" i="33"/>
  <c r="U18" i="33"/>
  <c r="U19" i="33"/>
  <c r="U20" i="33"/>
  <c r="U21" i="33"/>
  <c r="U22" i="33"/>
  <c r="U23" i="33"/>
  <c r="U24" i="33"/>
  <c r="U25" i="33"/>
  <c r="U26" i="33"/>
  <c r="U27" i="33"/>
  <c r="U28" i="33"/>
  <c r="U29" i="33"/>
  <c r="U30" i="33"/>
  <c r="U31" i="33"/>
  <c r="U32" i="33"/>
  <c r="U33" i="33"/>
  <c r="U34" i="33"/>
  <c r="U35" i="33"/>
  <c r="U36" i="33"/>
  <c r="U37" i="33"/>
  <c r="U38" i="33"/>
  <c r="U39" i="33"/>
  <c r="U40" i="33"/>
  <c r="U41" i="33"/>
  <c r="U42" i="33"/>
  <c r="U43" i="33"/>
  <c r="U44" i="33"/>
  <c r="U45" i="33"/>
  <c r="U46" i="33"/>
  <c r="U47" i="33"/>
  <c r="U48" i="33"/>
  <c r="U49" i="33"/>
  <c r="U50" i="33"/>
  <c r="U51" i="33"/>
  <c r="U52" i="33"/>
  <c r="U53" i="33"/>
  <c r="U54" i="33"/>
  <c r="U55" i="33"/>
  <c r="U56" i="33"/>
  <c r="U57" i="33"/>
  <c r="U58" i="33"/>
  <c r="U59" i="33"/>
  <c r="U60" i="33"/>
  <c r="U61" i="33"/>
  <c r="U62" i="33"/>
  <c r="U63" i="33"/>
  <c r="U64" i="33"/>
  <c r="U65" i="33"/>
  <c r="U66" i="33"/>
  <c r="U67" i="33"/>
  <c r="U68" i="33"/>
  <c r="U69" i="33"/>
  <c r="U70" i="33"/>
  <c r="U71" i="33"/>
  <c r="U72" i="33"/>
  <c r="U73" i="33"/>
  <c r="U74" i="33"/>
  <c r="U75" i="33"/>
  <c r="U76" i="33"/>
  <c r="U77" i="33"/>
  <c r="U78" i="33"/>
  <c r="U79" i="33"/>
  <c r="U80" i="33"/>
  <c r="U81" i="33"/>
  <c r="U82" i="33"/>
  <c r="U83" i="33"/>
  <c r="U84" i="33"/>
  <c r="U85" i="33"/>
  <c r="U86" i="33"/>
  <c r="U87" i="33"/>
  <c r="V2" i="33"/>
  <c r="V3" i="33"/>
  <c r="V4" i="33"/>
  <c r="V5" i="33"/>
  <c r="V6" i="33"/>
  <c r="V7" i="33"/>
  <c r="V8" i="33"/>
  <c r="V9" i="33"/>
  <c r="V10" i="33"/>
  <c r="V11" i="33"/>
  <c r="V12" i="33"/>
  <c r="V13" i="33"/>
  <c r="V14" i="33"/>
  <c r="V15" i="33"/>
  <c r="V16" i="33"/>
  <c r="V17" i="33"/>
  <c r="V18" i="33"/>
  <c r="V19" i="33"/>
  <c r="V20" i="33"/>
  <c r="V21" i="33"/>
  <c r="V22" i="33"/>
  <c r="V23" i="33"/>
  <c r="V24" i="33"/>
  <c r="V25" i="33"/>
  <c r="V26" i="33"/>
  <c r="V27" i="33"/>
  <c r="V28" i="33"/>
  <c r="V29" i="33"/>
  <c r="V30" i="33"/>
  <c r="V31" i="33"/>
  <c r="V32" i="33"/>
  <c r="V33" i="33"/>
  <c r="V34" i="33"/>
  <c r="V35" i="33"/>
  <c r="V36" i="33"/>
  <c r="V37" i="33"/>
  <c r="V38" i="33"/>
  <c r="V39" i="33"/>
  <c r="V40" i="33"/>
  <c r="V41" i="33"/>
  <c r="V42" i="33"/>
  <c r="V43" i="33"/>
  <c r="V44" i="33"/>
  <c r="V45" i="33"/>
  <c r="V46" i="33"/>
  <c r="V47" i="33"/>
  <c r="V48" i="33"/>
  <c r="V49" i="33"/>
  <c r="V50" i="33"/>
  <c r="V51" i="33"/>
  <c r="V52" i="33"/>
  <c r="V53" i="33"/>
  <c r="V54" i="33"/>
  <c r="V55" i="33"/>
  <c r="V56" i="33"/>
  <c r="V57" i="33"/>
  <c r="V58" i="33"/>
  <c r="V59" i="33"/>
  <c r="V60" i="33"/>
  <c r="V61" i="33"/>
  <c r="V62" i="33"/>
  <c r="V63" i="33"/>
  <c r="V64" i="33"/>
  <c r="V65" i="33"/>
  <c r="V66" i="33"/>
  <c r="V67" i="33"/>
  <c r="V68" i="33"/>
  <c r="V69" i="33"/>
  <c r="V70" i="33"/>
  <c r="V71" i="33"/>
  <c r="V72" i="33"/>
  <c r="V73" i="33"/>
  <c r="V74" i="33"/>
  <c r="V75" i="33"/>
  <c r="V76" i="33"/>
  <c r="V77" i="33"/>
  <c r="V78" i="33"/>
  <c r="V79" i="33"/>
  <c r="V80" i="33"/>
  <c r="V81" i="33"/>
  <c r="V82" i="33"/>
  <c r="V83" i="33"/>
  <c r="V84" i="33"/>
  <c r="V85" i="33"/>
  <c r="V86" i="33"/>
  <c r="V87" i="33"/>
  <c r="W2" i="33"/>
  <c r="W3" i="33"/>
  <c r="W4" i="33"/>
  <c r="W5" i="33"/>
  <c r="W6" i="33"/>
  <c r="W7" i="33"/>
  <c r="W8" i="33"/>
  <c r="W9" i="33"/>
  <c r="W10" i="33"/>
  <c r="W11" i="33"/>
  <c r="W12" i="33"/>
  <c r="W13" i="33"/>
  <c r="W14" i="33"/>
  <c r="W15" i="33"/>
  <c r="W16" i="33"/>
  <c r="W17" i="33"/>
  <c r="W18" i="33"/>
  <c r="AC18" i="33" s="1"/>
  <c r="W19" i="33"/>
  <c r="W20" i="33"/>
  <c r="W21" i="33"/>
  <c r="W22" i="33"/>
  <c r="W23" i="33"/>
  <c r="W24" i="33"/>
  <c r="W25" i="33"/>
  <c r="W26" i="33"/>
  <c r="W27" i="33"/>
  <c r="W28" i="33"/>
  <c r="W29" i="33"/>
  <c r="W30" i="33"/>
  <c r="AC30" i="33" s="1"/>
  <c r="W31" i="33"/>
  <c r="W32" i="33"/>
  <c r="W33" i="33"/>
  <c r="W34" i="33"/>
  <c r="W35" i="33"/>
  <c r="W36" i="33"/>
  <c r="W37" i="33"/>
  <c r="W38" i="33"/>
  <c r="W39" i="33"/>
  <c r="W40" i="33"/>
  <c r="W41" i="33"/>
  <c r="W42" i="33"/>
  <c r="AC42" i="33" s="1"/>
  <c r="W43" i="33"/>
  <c r="W44" i="33"/>
  <c r="W45" i="33"/>
  <c r="W46" i="33"/>
  <c r="W47" i="33"/>
  <c r="W48" i="33"/>
  <c r="W49" i="33"/>
  <c r="W50" i="33"/>
  <c r="W51" i="33"/>
  <c r="W52" i="33"/>
  <c r="W53" i="33"/>
  <c r="W54" i="33"/>
  <c r="AC54" i="33" s="1"/>
  <c r="W55" i="33"/>
  <c r="W56" i="33"/>
  <c r="W57" i="33"/>
  <c r="W58" i="33"/>
  <c r="W59" i="33"/>
  <c r="W60" i="33"/>
  <c r="W61" i="33"/>
  <c r="W62" i="33"/>
  <c r="W63" i="33"/>
  <c r="W64" i="33"/>
  <c r="W65" i="33"/>
  <c r="W66" i="33"/>
  <c r="AC66" i="33" s="1"/>
  <c r="W67" i="33"/>
  <c r="W68" i="33"/>
  <c r="W69" i="33"/>
  <c r="W70" i="33"/>
  <c r="W71" i="33"/>
  <c r="W72" i="33"/>
  <c r="W73" i="33"/>
  <c r="W74" i="33"/>
  <c r="W75" i="33"/>
  <c r="W76" i="33"/>
  <c r="W77" i="33"/>
  <c r="W78" i="33"/>
  <c r="AC78" i="33" s="1"/>
  <c r="W79" i="33"/>
  <c r="W80" i="33"/>
  <c r="W81" i="33"/>
  <c r="W82" i="33"/>
  <c r="W83" i="33"/>
  <c r="W84" i="33"/>
  <c r="W85" i="33"/>
  <c r="W86" i="33"/>
  <c r="W87" i="33"/>
  <c r="X2" i="33"/>
  <c r="X3" i="33"/>
  <c r="X4" i="33"/>
  <c r="AD4" i="33" s="1"/>
  <c r="X5" i="33"/>
  <c r="X6" i="33"/>
  <c r="X7" i="33"/>
  <c r="X8" i="33"/>
  <c r="X9" i="33"/>
  <c r="X10" i="33"/>
  <c r="X11" i="33"/>
  <c r="X12" i="33"/>
  <c r="X13" i="33"/>
  <c r="X14" i="33"/>
  <c r="X15" i="33"/>
  <c r="X16" i="33"/>
  <c r="AD16" i="33" s="1"/>
  <c r="X17" i="33"/>
  <c r="X18" i="33"/>
  <c r="X19" i="33"/>
  <c r="X20" i="33"/>
  <c r="X21" i="33"/>
  <c r="X22" i="33"/>
  <c r="X23" i="33"/>
  <c r="X24" i="33"/>
  <c r="X25" i="33"/>
  <c r="X26" i="33"/>
  <c r="X27" i="33"/>
  <c r="X28" i="33"/>
  <c r="AD28" i="33" s="1"/>
  <c r="X29" i="33"/>
  <c r="X30" i="33"/>
  <c r="X31" i="33"/>
  <c r="X32" i="33"/>
  <c r="X33" i="33"/>
  <c r="X34" i="33"/>
  <c r="X35" i="33"/>
  <c r="X36" i="33"/>
  <c r="X37" i="33"/>
  <c r="X38" i="33"/>
  <c r="X39" i="33"/>
  <c r="X40" i="33"/>
  <c r="AD40" i="33" s="1"/>
  <c r="X41" i="33"/>
  <c r="X42" i="33"/>
  <c r="X43" i="33"/>
  <c r="X44" i="33"/>
  <c r="X45" i="33"/>
  <c r="X46" i="33"/>
  <c r="X47" i="33"/>
  <c r="X48" i="33"/>
  <c r="X49" i="33"/>
  <c r="X50" i="33"/>
  <c r="X51" i="33"/>
  <c r="X52" i="33"/>
  <c r="AD52" i="33" s="1"/>
  <c r="X53" i="33"/>
  <c r="X54" i="33"/>
  <c r="X55" i="33"/>
  <c r="X56" i="33"/>
  <c r="X57" i="33"/>
  <c r="X58" i="33"/>
  <c r="X59" i="33"/>
  <c r="X60" i="33"/>
  <c r="X61" i="33"/>
  <c r="X62" i="33"/>
  <c r="X63" i="33"/>
  <c r="X64" i="33"/>
  <c r="AD64" i="33" s="1"/>
  <c r="X65" i="33"/>
  <c r="X66" i="33"/>
  <c r="X67" i="33"/>
  <c r="X68" i="33"/>
  <c r="X69" i="33"/>
  <c r="X70" i="33"/>
  <c r="X71" i="33"/>
  <c r="X72" i="33"/>
  <c r="X73" i="33"/>
  <c r="X74" i="33"/>
  <c r="X75" i="33"/>
  <c r="X76" i="33"/>
  <c r="AD76" i="33" s="1"/>
  <c r="X77" i="33"/>
  <c r="X78" i="33"/>
  <c r="X79" i="33"/>
  <c r="X80" i="33"/>
  <c r="X81" i="33"/>
  <c r="X82" i="33"/>
  <c r="X83" i="33"/>
  <c r="X84" i="33"/>
  <c r="X85" i="33"/>
  <c r="X86" i="33"/>
  <c r="X87" i="33"/>
  <c r="Y2" i="33"/>
  <c r="AE2" i="33" s="1"/>
  <c r="Y3" i="33"/>
  <c r="Y4" i="33"/>
  <c r="Y5" i="33"/>
  <c r="Y6" i="33"/>
  <c r="Y7" i="33"/>
  <c r="Y8" i="33"/>
  <c r="Y9" i="33"/>
  <c r="Y10" i="33"/>
  <c r="Y11" i="33"/>
  <c r="Y12" i="33"/>
  <c r="Y13" i="33"/>
  <c r="Y14" i="33"/>
  <c r="AE14" i="33" s="1"/>
  <c r="Y15" i="33"/>
  <c r="Y16" i="33"/>
  <c r="Y17" i="33"/>
  <c r="Y18" i="33"/>
  <c r="Y19" i="33"/>
  <c r="Y20" i="33"/>
  <c r="Y21" i="33"/>
  <c r="Y22" i="33"/>
  <c r="Y23" i="33"/>
  <c r="Y24" i="33"/>
  <c r="Y25" i="33"/>
  <c r="Y26" i="33"/>
  <c r="AE26" i="33" s="1"/>
  <c r="Y27" i="33"/>
  <c r="Y28" i="33"/>
  <c r="Y29" i="33"/>
  <c r="Y30" i="33"/>
  <c r="Y31" i="33"/>
  <c r="Y32" i="33"/>
  <c r="Y33" i="33"/>
  <c r="Y34" i="33"/>
  <c r="Y35" i="33"/>
  <c r="Y36" i="33"/>
  <c r="Y37" i="33"/>
  <c r="Y38" i="33"/>
  <c r="AE38" i="33" s="1"/>
  <c r="Y39" i="33"/>
  <c r="Y40" i="33"/>
  <c r="Y41" i="33"/>
  <c r="Y42" i="33"/>
  <c r="Y43" i="33"/>
  <c r="Y44" i="33"/>
  <c r="Y45" i="33"/>
  <c r="Y46" i="33"/>
  <c r="Y47" i="33"/>
  <c r="Y48" i="33"/>
  <c r="Y49" i="33"/>
  <c r="Y50" i="33"/>
  <c r="Y51" i="33"/>
  <c r="Y52" i="33"/>
  <c r="Y53" i="33"/>
  <c r="Y54" i="33"/>
  <c r="Y55" i="33"/>
  <c r="Y56" i="33"/>
  <c r="Y57" i="33"/>
  <c r="Y58" i="33"/>
  <c r="Y59" i="33"/>
  <c r="Y60" i="33"/>
  <c r="Y61" i="33"/>
  <c r="Y62" i="33"/>
  <c r="AE62" i="33" s="1"/>
  <c r="Y63" i="33"/>
  <c r="Y64" i="33"/>
  <c r="Y65" i="33"/>
  <c r="Y66" i="33"/>
  <c r="Y67" i="33"/>
  <c r="Y68" i="33"/>
  <c r="Y69" i="33"/>
  <c r="Y70" i="33"/>
  <c r="Y71" i="33"/>
  <c r="Y72" i="33"/>
  <c r="Y73" i="33"/>
  <c r="Y74" i="33"/>
  <c r="AE74" i="33" s="1"/>
  <c r="Y75" i="33"/>
  <c r="Y76" i="33"/>
  <c r="Y77" i="33"/>
  <c r="Y78" i="33"/>
  <c r="Y79" i="33"/>
  <c r="Y80" i="33"/>
  <c r="Y81" i="33"/>
  <c r="Y82" i="33"/>
  <c r="Y83" i="33"/>
  <c r="Y84" i="33"/>
  <c r="Y85" i="33"/>
  <c r="Y86" i="33"/>
  <c r="AE86" i="33" s="1"/>
  <c r="Y87" i="33"/>
  <c r="Z2" i="33"/>
  <c r="Z3" i="33"/>
  <c r="Z4" i="33"/>
  <c r="Z5" i="33"/>
  <c r="Z6" i="33"/>
  <c r="Z7" i="33"/>
  <c r="Z8" i="33"/>
  <c r="Z9" i="33"/>
  <c r="Z10" i="33"/>
  <c r="Z11" i="33"/>
  <c r="Z12" i="33"/>
  <c r="Z13" i="33"/>
  <c r="AC13" i="33" s="1"/>
  <c r="Z14" i="33"/>
  <c r="Z15" i="33"/>
  <c r="Z16" i="33"/>
  <c r="Z17" i="33"/>
  <c r="Z18" i="33"/>
  <c r="Z19" i="33"/>
  <c r="Z20" i="33"/>
  <c r="Z21" i="33"/>
  <c r="Z22" i="33"/>
  <c r="Z23" i="33"/>
  <c r="Z24" i="33"/>
  <c r="Z25" i="33"/>
  <c r="AC25" i="33" s="1"/>
  <c r="Z26" i="33"/>
  <c r="Z27" i="33"/>
  <c r="Z28" i="33"/>
  <c r="Z29" i="33"/>
  <c r="Z30" i="33"/>
  <c r="Z31" i="33"/>
  <c r="Z32" i="33"/>
  <c r="Z33" i="33"/>
  <c r="Z34" i="33"/>
  <c r="Z35" i="33"/>
  <c r="Z36" i="33"/>
  <c r="Z37" i="33"/>
  <c r="AC37" i="33" s="1"/>
  <c r="Z38" i="33"/>
  <c r="Z39" i="33"/>
  <c r="Z40" i="33"/>
  <c r="Z41" i="33"/>
  <c r="Z42" i="33"/>
  <c r="Z43" i="33"/>
  <c r="Z44" i="33"/>
  <c r="Z45" i="33"/>
  <c r="Z46" i="33"/>
  <c r="Z47" i="33"/>
  <c r="Z48" i="33"/>
  <c r="Z49" i="33"/>
  <c r="AC49" i="33" s="1"/>
  <c r="Z50" i="33"/>
  <c r="Z51" i="33"/>
  <c r="Z52" i="33"/>
  <c r="Z53" i="33"/>
  <c r="Z54" i="33"/>
  <c r="Z55" i="33"/>
  <c r="Z56" i="33"/>
  <c r="Z57" i="33"/>
  <c r="Z58" i="33"/>
  <c r="Z59" i="33"/>
  <c r="Z60" i="33"/>
  <c r="Z61" i="33"/>
  <c r="AC61" i="33" s="1"/>
  <c r="Z62" i="33"/>
  <c r="Z63" i="33"/>
  <c r="Z64" i="33"/>
  <c r="Z65" i="33"/>
  <c r="Z66" i="33"/>
  <c r="Z67" i="33"/>
  <c r="Z68" i="33"/>
  <c r="Z69" i="33"/>
  <c r="Z70" i="33"/>
  <c r="Z71" i="33"/>
  <c r="Z72" i="33"/>
  <c r="Z73" i="33"/>
  <c r="AC73" i="33" s="1"/>
  <c r="Z74" i="33"/>
  <c r="Z75" i="33"/>
  <c r="Z76" i="33"/>
  <c r="Z77" i="33"/>
  <c r="Z78" i="33"/>
  <c r="Z79" i="33"/>
  <c r="Z80" i="33"/>
  <c r="Z81" i="33"/>
  <c r="Z82" i="33"/>
  <c r="Z83" i="33"/>
  <c r="Z84" i="33"/>
  <c r="Z85" i="33"/>
  <c r="AC85" i="33" s="1"/>
  <c r="Z86" i="33"/>
  <c r="Z87" i="33"/>
  <c r="AA2" i="33"/>
  <c r="AA3" i="33"/>
  <c r="AA4" i="33"/>
  <c r="AA5" i="33"/>
  <c r="AA6" i="33"/>
  <c r="AA7" i="33"/>
  <c r="AA8" i="33"/>
  <c r="AA9" i="33"/>
  <c r="AA10" i="33"/>
  <c r="AA11" i="33"/>
  <c r="AD11" i="33" s="1"/>
  <c r="AA12" i="33"/>
  <c r="AA13" i="33"/>
  <c r="AA14" i="33"/>
  <c r="AA15" i="33"/>
  <c r="AA16" i="33"/>
  <c r="AA17" i="33"/>
  <c r="AA18" i="33"/>
  <c r="AA19" i="33"/>
  <c r="AA20" i="33"/>
  <c r="AA21" i="33"/>
  <c r="AA22" i="33"/>
  <c r="AA23" i="33"/>
  <c r="AD23" i="33" s="1"/>
  <c r="AA24" i="33"/>
  <c r="AA25" i="33"/>
  <c r="AA26" i="33"/>
  <c r="AA27" i="33"/>
  <c r="AA28" i="33"/>
  <c r="AA29" i="33"/>
  <c r="AA30" i="33"/>
  <c r="AA31" i="33"/>
  <c r="AA32" i="33"/>
  <c r="AA33" i="33"/>
  <c r="AA34" i="33"/>
  <c r="AA35" i="33"/>
  <c r="AD35" i="33" s="1"/>
  <c r="AA36" i="33"/>
  <c r="AA37" i="33"/>
  <c r="AA38" i="33"/>
  <c r="AA39" i="33"/>
  <c r="AA40" i="33"/>
  <c r="AA41" i="33"/>
  <c r="AA42" i="33"/>
  <c r="AA43" i="33"/>
  <c r="AA44" i="33"/>
  <c r="AA45" i="33"/>
  <c r="AA46" i="33"/>
  <c r="AA47" i="33"/>
  <c r="AD47" i="33" s="1"/>
  <c r="AA48" i="33"/>
  <c r="AA49" i="33"/>
  <c r="AA50" i="33"/>
  <c r="AA51" i="33"/>
  <c r="AA52" i="33"/>
  <c r="AA53" i="33"/>
  <c r="AA54" i="33"/>
  <c r="AA55" i="33"/>
  <c r="AA56" i="33"/>
  <c r="AA57" i="33"/>
  <c r="AA58" i="33"/>
  <c r="AA59" i="33"/>
  <c r="AD59" i="33" s="1"/>
  <c r="AA60" i="33"/>
  <c r="AA61" i="33"/>
  <c r="AA62" i="33"/>
  <c r="AA63" i="33"/>
  <c r="AA64" i="33"/>
  <c r="AA65" i="33"/>
  <c r="AA66" i="33"/>
  <c r="AA67" i="33"/>
  <c r="AA68" i="33"/>
  <c r="AA69" i="33"/>
  <c r="AA70" i="33"/>
  <c r="AA71" i="33"/>
  <c r="AD71" i="33" s="1"/>
  <c r="AA72" i="33"/>
  <c r="AA73" i="33"/>
  <c r="AA74" i="33"/>
  <c r="AA75" i="33"/>
  <c r="AA76" i="33"/>
  <c r="AA77" i="33"/>
  <c r="AA78" i="33"/>
  <c r="AA79" i="33"/>
  <c r="AA80" i="33"/>
  <c r="AA81" i="33"/>
  <c r="AA82" i="33"/>
  <c r="AA83" i="33"/>
  <c r="AD83" i="33" s="1"/>
  <c r="AA84" i="33"/>
  <c r="AA85" i="33"/>
  <c r="AA86" i="33"/>
  <c r="AA87" i="33"/>
  <c r="AB2" i="33"/>
  <c r="AB3" i="33"/>
  <c r="AB4" i="33"/>
  <c r="AE4" i="33" s="1"/>
  <c r="AB5" i="33"/>
  <c r="AB6" i="33"/>
  <c r="AB7" i="33"/>
  <c r="AB8" i="33"/>
  <c r="AB9" i="33"/>
  <c r="AE9" i="33" s="1"/>
  <c r="AB10" i="33"/>
  <c r="AB11" i="33"/>
  <c r="AB12" i="33"/>
  <c r="AB13" i="33"/>
  <c r="AB14" i="33"/>
  <c r="AB15" i="33"/>
  <c r="AB16" i="33"/>
  <c r="AB17" i="33"/>
  <c r="AB18" i="33"/>
  <c r="AB19" i="33"/>
  <c r="AE19" i="33" s="1"/>
  <c r="AB20" i="33"/>
  <c r="AB21" i="33"/>
  <c r="AE21" i="33" s="1"/>
  <c r="AB22" i="33"/>
  <c r="AB23" i="33"/>
  <c r="AB24" i="33"/>
  <c r="AB25" i="33"/>
  <c r="AB26" i="33"/>
  <c r="AB27" i="33"/>
  <c r="AB28" i="33"/>
  <c r="AB29" i="33"/>
  <c r="AB30" i="33"/>
  <c r="AB31" i="33"/>
  <c r="AB32" i="33"/>
  <c r="AB33" i="33"/>
  <c r="AE33" i="33" s="1"/>
  <c r="AB34" i="33"/>
  <c r="AE34" i="33" s="1"/>
  <c r="AB35" i="33"/>
  <c r="AB36" i="33"/>
  <c r="AB37" i="33"/>
  <c r="AB38" i="33"/>
  <c r="AB39" i="33"/>
  <c r="AB40" i="33"/>
  <c r="AB41" i="33"/>
  <c r="AB42" i="33"/>
  <c r="AB43" i="33"/>
  <c r="AB44" i="33"/>
  <c r="AB45" i="33"/>
  <c r="AE45" i="33" s="1"/>
  <c r="AB46" i="33"/>
  <c r="AB47" i="33"/>
  <c r="AB48" i="33"/>
  <c r="AE48" i="33" s="1"/>
  <c r="AB49" i="33"/>
  <c r="AB50" i="33"/>
  <c r="AB51" i="33"/>
  <c r="AB52" i="33"/>
  <c r="AB53" i="33"/>
  <c r="AB54" i="33"/>
  <c r="AB55" i="33"/>
  <c r="AB56" i="33"/>
  <c r="AB57" i="33"/>
  <c r="AE57" i="33" s="1"/>
  <c r="AB58" i="33"/>
  <c r="AB59" i="33"/>
  <c r="AB60" i="33"/>
  <c r="AB61" i="33"/>
  <c r="AB62" i="33"/>
  <c r="AB63" i="33"/>
  <c r="AB64" i="33"/>
  <c r="AB65" i="33"/>
  <c r="AE65" i="33" s="1"/>
  <c r="AB66" i="33"/>
  <c r="AB67" i="33"/>
  <c r="AB68" i="33"/>
  <c r="AB69" i="33"/>
  <c r="AE69" i="33" s="1"/>
  <c r="AB70" i="33"/>
  <c r="AE70" i="33" s="1"/>
  <c r="AB71" i="33"/>
  <c r="AB72" i="33"/>
  <c r="AB73" i="33"/>
  <c r="AB74" i="33"/>
  <c r="AB75" i="33"/>
  <c r="AB76" i="33"/>
  <c r="AB77" i="33"/>
  <c r="AE77" i="33" s="1"/>
  <c r="AB78" i="33"/>
  <c r="AB79" i="33"/>
  <c r="AE79" i="33" s="1"/>
  <c r="AB80" i="33"/>
  <c r="AB81" i="33"/>
  <c r="AE81" i="33" s="1"/>
  <c r="AB82" i="33"/>
  <c r="AE82" i="33" s="1"/>
  <c r="AB83" i="33"/>
  <c r="AE83" i="33" s="1"/>
  <c r="AB84" i="33"/>
  <c r="AB85" i="33"/>
  <c r="AB86" i="33"/>
  <c r="AB87" i="33"/>
  <c r="AC2" i="33"/>
  <c r="AC3" i="33"/>
  <c r="AC4" i="33"/>
  <c r="AC5" i="33"/>
  <c r="AC6" i="33"/>
  <c r="AC7" i="33"/>
  <c r="AC8" i="33"/>
  <c r="AC9" i="33"/>
  <c r="AC10" i="33"/>
  <c r="AC14" i="33"/>
  <c r="AC15" i="33"/>
  <c r="AC16" i="33"/>
  <c r="AC19" i="33"/>
  <c r="AC20" i="33"/>
  <c r="AC21" i="33"/>
  <c r="AC22" i="33"/>
  <c r="AC26" i="33"/>
  <c r="AC27" i="33"/>
  <c r="AC28" i="33"/>
  <c r="AC31" i="33"/>
  <c r="AC32" i="33"/>
  <c r="AC33" i="33"/>
  <c r="AC34" i="33"/>
  <c r="AC38" i="33"/>
  <c r="AC39" i="33"/>
  <c r="AC40" i="33"/>
  <c r="AC43" i="33"/>
  <c r="AC44" i="33"/>
  <c r="AC45" i="33"/>
  <c r="AC46" i="33"/>
  <c r="AC47" i="33"/>
  <c r="AC50" i="33"/>
  <c r="AC51" i="33"/>
  <c r="AC52" i="33"/>
  <c r="AC55" i="33"/>
  <c r="AC56" i="33"/>
  <c r="AC57" i="33"/>
  <c r="AC58" i="33"/>
  <c r="AC62" i="33"/>
  <c r="AC63" i="33"/>
  <c r="AC64" i="33"/>
  <c r="AC67" i="33"/>
  <c r="AC68" i="33"/>
  <c r="AC69" i="33"/>
  <c r="AC70" i="33"/>
  <c r="AC74" i="33"/>
  <c r="AC75" i="33"/>
  <c r="AC76" i="33"/>
  <c r="AC77" i="33"/>
  <c r="AC79" i="33"/>
  <c r="AC80" i="33"/>
  <c r="AC81" i="33"/>
  <c r="AC82" i="33"/>
  <c r="AC86" i="33"/>
  <c r="AC87" i="33"/>
  <c r="AD2" i="33"/>
  <c r="AD5" i="33"/>
  <c r="AD6" i="33"/>
  <c r="AD7" i="33"/>
  <c r="AD8" i="33"/>
  <c r="AD12" i="33"/>
  <c r="AD13" i="33"/>
  <c r="AD14" i="33"/>
  <c r="AD17" i="33"/>
  <c r="AD18" i="33"/>
  <c r="AD19" i="33"/>
  <c r="AD20" i="33"/>
  <c r="AD24" i="33"/>
  <c r="AD25" i="33"/>
  <c r="AD26" i="33"/>
  <c r="AD29" i="33"/>
  <c r="AD30" i="33"/>
  <c r="AD31" i="33"/>
  <c r="AD32" i="33"/>
  <c r="AD33" i="33"/>
  <c r="AD36" i="33"/>
  <c r="AD37" i="33"/>
  <c r="AD38" i="33"/>
  <c r="AD41" i="33"/>
  <c r="AD42" i="33"/>
  <c r="AD43" i="33"/>
  <c r="AD44" i="33"/>
  <c r="AD48" i="33"/>
  <c r="AD49" i="33"/>
  <c r="AD50" i="33"/>
  <c r="AD53" i="33"/>
  <c r="AD54" i="33"/>
  <c r="AD55" i="33"/>
  <c r="AD56" i="33"/>
  <c r="AD60" i="33"/>
  <c r="AD61" i="33"/>
  <c r="AD62" i="33"/>
  <c r="AD63" i="33"/>
  <c r="AD65" i="33"/>
  <c r="AD66" i="33"/>
  <c r="AD67" i="33"/>
  <c r="AD68" i="33"/>
  <c r="AD72" i="33"/>
  <c r="AD73" i="33"/>
  <c r="AD74" i="33"/>
  <c r="AD77" i="33"/>
  <c r="AD78" i="33"/>
  <c r="AD79" i="33"/>
  <c r="AD80" i="33"/>
  <c r="AD84" i="33"/>
  <c r="AD85" i="33"/>
  <c r="AD86" i="33"/>
  <c r="AE3" i="33"/>
  <c r="AE5" i="33"/>
  <c r="AE6" i="33"/>
  <c r="AE10" i="33"/>
  <c r="AE11" i="33"/>
  <c r="AE12" i="33"/>
  <c r="AE15" i="33"/>
  <c r="AE16" i="33"/>
  <c r="AE17" i="33"/>
  <c r="AE18" i="33"/>
  <c r="AE22" i="33"/>
  <c r="AE23" i="33"/>
  <c r="AE24" i="33"/>
  <c r="AE27" i="33"/>
  <c r="AE28" i="33"/>
  <c r="AE29" i="33"/>
  <c r="AE30" i="33"/>
  <c r="AE35" i="33"/>
  <c r="AE36" i="33"/>
  <c r="AE39" i="33"/>
  <c r="AE40" i="33"/>
  <c r="AE41" i="33"/>
  <c r="AE42" i="33"/>
  <c r="AE46" i="33"/>
  <c r="AE47" i="33"/>
  <c r="AE49" i="33"/>
  <c r="AE50" i="33"/>
  <c r="AE51" i="33"/>
  <c r="AE52" i="33"/>
  <c r="AE53" i="33"/>
  <c r="AE54" i="33"/>
  <c r="AE58" i="33"/>
  <c r="AE59" i="33"/>
  <c r="AE60" i="33"/>
  <c r="AE63" i="33"/>
  <c r="AE64" i="33"/>
  <c r="AE66" i="33"/>
  <c r="AE71" i="33"/>
  <c r="AE72" i="33"/>
  <c r="AE75" i="33"/>
  <c r="AE76" i="33"/>
  <c r="AE78" i="33"/>
  <c r="AE84" i="33"/>
  <c r="AE87" i="33"/>
  <c r="AE85" i="33" l="1"/>
  <c r="AE73" i="33"/>
  <c r="AE61" i="33"/>
  <c r="AE37" i="33"/>
  <c r="AE25" i="33"/>
  <c r="AE13" i="33"/>
  <c r="AD87" i="33"/>
  <c r="AD75" i="33"/>
  <c r="AD51" i="33"/>
  <c r="AD39" i="33"/>
  <c r="AD27" i="33"/>
  <c r="AD15" i="33"/>
  <c r="AD3" i="33"/>
  <c r="AC65" i="33"/>
  <c r="AC53" i="33"/>
  <c r="AC41" i="33"/>
  <c r="AC29" i="33"/>
  <c r="AC17" i="33"/>
  <c r="AE67" i="33"/>
  <c r="AE55" i="33"/>
  <c r="AE43" i="33"/>
  <c r="AE31" i="33"/>
  <c r="AE7" i="33"/>
  <c r="AD81" i="33"/>
  <c r="AD69" i="33"/>
  <c r="AD57" i="33"/>
  <c r="AD45" i="33"/>
  <c r="AD21" i="33"/>
  <c r="AD9" i="33"/>
  <c r="AC83" i="33"/>
  <c r="AC71" i="33"/>
  <c r="AC59" i="33"/>
  <c r="AC35" i="33"/>
  <c r="AC23" i="33"/>
  <c r="AC11" i="33"/>
  <c r="AE44" i="33"/>
  <c r="AD10" i="33"/>
  <c r="AE80" i="33"/>
  <c r="AD46" i="33"/>
  <c r="AC12" i="33"/>
  <c r="AE20" i="33"/>
  <c r="AC84" i="33"/>
  <c r="AD70" i="33"/>
  <c r="AC36" i="33"/>
  <c r="AE68" i="33"/>
  <c r="AD34" i="33"/>
  <c r="AE8" i="33"/>
  <c r="AC60" i="33"/>
  <c r="AD58" i="33"/>
  <c r="AC24" i="33"/>
  <c r="AE32" i="33"/>
  <c r="AC72" i="33"/>
  <c r="AE56" i="33"/>
  <c r="AD22" i="33"/>
  <c r="AD82" i="33"/>
  <c r="AC48" i="33"/>
  <c r="E29" i="19"/>
  <c r="F29" i="19" s="1"/>
  <c r="K29" i="19"/>
  <c r="P29" i="19" s="1"/>
  <c r="L29" i="19"/>
  <c r="Q29" i="19" s="1"/>
  <c r="O29" i="19"/>
  <c r="S29" i="19"/>
  <c r="E24" i="19"/>
  <c r="F24" i="19" s="1"/>
  <c r="E23" i="19"/>
  <c r="F23" i="19" s="1"/>
  <c r="E22" i="19"/>
  <c r="F22" i="19" s="1"/>
  <c r="K22" i="19"/>
  <c r="P22" i="19" s="1"/>
  <c r="L22" i="19"/>
  <c r="Q22" i="19" s="1"/>
  <c r="O22" i="19"/>
  <c r="S22" i="19"/>
  <c r="V22" i="19" s="1"/>
  <c r="D67" i="29"/>
  <c r="D66" i="29"/>
  <c r="D65" i="29"/>
  <c r="D64" i="29"/>
  <c r="D63" i="29"/>
  <c r="D62" i="29"/>
  <c r="E19" i="19"/>
  <c r="F19" i="19" s="1"/>
  <c r="E20" i="19"/>
  <c r="F20" i="19" s="1"/>
  <c r="W29" i="19" l="1"/>
  <c r="AE29" i="19" s="1"/>
  <c r="V29" i="19"/>
  <c r="U29" i="19"/>
  <c r="T29" i="19"/>
  <c r="W22" i="19"/>
  <c r="AE22" i="19" s="1"/>
  <c r="U22" i="19"/>
  <c r="T22" i="19"/>
  <c r="C62" i="29"/>
  <c r="C63" i="29"/>
  <c r="C64" i="29"/>
  <c r="C65" i="29"/>
  <c r="C66" i="29"/>
  <c r="C67" i="29"/>
  <c r="D61" i="29"/>
  <c r="D60" i="29"/>
  <c r="AB29" i="19" l="1"/>
  <c r="AC29" i="19"/>
  <c r="AD29" i="19"/>
  <c r="AB22" i="19"/>
  <c r="AL22" i="19" s="1"/>
  <c r="AC22" i="19"/>
  <c r="AD22" i="19"/>
  <c r="C60" i="29"/>
  <c r="C61" i="29"/>
  <c r="D59" i="29"/>
  <c r="D58" i="29"/>
  <c r="C58" i="29"/>
  <c r="C59" i="29"/>
  <c r="C55" i="29"/>
  <c r="C56" i="29"/>
  <c r="C57" i="29"/>
  <c r="D57" i="29"/>
  <c r="AS29" i="19" l="1"/>
  <c r="AM29" i="19"/>
  <c r="AG29" i="19"/>
  <c r="AP29" i="19"/>
  <c r="AV29" i="19"/>
  <c r="AJ29" i="19"/>
  <c r="AN29" i="19"/>
  <c r="AT29" i="19"/>
  <c r="AH29" i="19"/>
  <c r="AW29" i="19"/>
  <c r="AK29" i="19"/>
  <c r="AQ29" i="19"/>
  <c r="AF29" i="19"/>
  <c r="AU29" i="19"/>
  <c r="AR29" i="19"/>
  <c r="AO29" i="19"/>
  <c r="AL29" i="19"/>
  <c r="AI29" i="19"/>
  <c r="AI22" i="19"/>
  <c r="AF22" i="19"/>
  <c r="AR22" i="19"/>
  <c r="AU22" i="19"/>
  <c r="AO22" i="19"/>
  <c r="AN22" i="19"/>
  <c r="AH22" i="19"/>
  <c r="AW22" i="19"/>
  <c r="AQ22" i="19"/>
  <c r="AK22" i="19"/>
  <c r="AT22" i="19"/>
  <c r="AS22" i="19"/>
  <c r="AP22" i="19"/>
  <c r="AG22" i="19"/>
  <c r="AM22" i="19"/>
  <c r="AV22" i="19"/>
  <c r="AJ22" i="19"/>
  <c r="S58" i="19"/>
  <c r="O58" i="19"/>
  <c r="L58" i="19"/>
  <c r="Q58" i="19" s="1"/>
  <c r="K58" i="19"/>
  <c r="P58" i="19" s="1"/>
  <c r="E58" i="19"/>
  <c r="F58" i="19" s="1"/>
  <c r="S57" i="19"/>
  <c r="W57" i="19" s="1"/>
  <c r="O57" i="19"/>
  <c r="L57" i="19"/>
  <c r="Q57" i="19" s="1"/>
  <c r="K57" i="19"/>
  <c r="P57" i="19" s="1"/>
  <c r="E57" i="19"/>
  <c r="F57" i="19" s="1"/>
  <c r="S56" i="19"/>
  <c r="V56" i="19" s="1"/>
  <c r="O56" i="19"/>
  <c r="L56" i="19"/>
  <c r="Q56" i="19" s="1"/>
  <c r="K56" i="19"/>
  <c r="P56" i="19" s="1"/>
  <c r="E56" i="19"/>
  <c r="F56" i="19" s="1"/>
  <c r="S55" i="19"/>
  <c r="U55" i="19" s="1"/>
  <c r="O55" i="19"/>
  <c r="L55" i="19"/>
  <c r="Q55" i="19" s="1"/>
  <c r="K55" i="19"/>
  <c r="P55" i="19" s="1"/>
  <c r="E55" i="19"/>
  <c r="F55" i="19" s="1"/>
  <c r="S54" i="19"/>
  <c r="W54" i="19" s="1"/>
  <c r="O54" i="19"/>
  <c r="L54" i="19"/>
  <c r="Q54" i="19" s="1"/>
  <c r="K54" i="19"/>
  <c r="P54" i="19" s="1"/>
  <c r="E54" i="19"/>
  <c r="F54" i="19" s="1"/>
  <c r="S53" i="19"/>
  <c r="V53" i="19" s="1"/>
  <c r="O53" i="19"/>
  <c r="L53" i="19"/>
  <c r="Q53" i="19" s="1"/>
  <c r="K53" i="19"/>
  <c r="P53" i="19" s="1"/>
  <c r="E53" i="19"/>
  <c r="F53" i="19" s="1"/>
  <c r="S52" i="19"/>
  <c r="W52" i="19" s="1"/>
  <c r="O52" i="19"/>
  <c r="L52" i="19"/>
  <c r="Q52" i="19" s="1"/>
  <c r="K52" i="19"/>
  <c r="P52" i="19" s="1"/>
  <c r="E52" i="19"/>
  <c r="F52" i="19" s="1"/>
  <c r="S51" i="19"/>
  <c r="W51" i="19" s="1"/>
  <c r="O51" i="19"/>
  <c r="L51" i="19"/>
  <c r="Q51" i="19" s="1"/>
  <c r="K51" i="19"/>
  <c r="P51" i="19" s="1"/>
  <c r="E51" i="19"/>
  <c r="F51" i="19" s="1"/>
  <c r="S50" i="19"/>
  <c r="W50" i="19" s="1"/>
  <c r="O50" i="19"/>
  <c r="L50" i="19"/>
  <c r="Q50" i="19" s="1"/>
  <c r="K50" i="19"/>
  <c r="P50" i="19" s="1"/>
  <c r="E50" i="19"/>
  <c r="F50" i="19" s="1"/>
  <c r="S49" i="19"/>
  <c r="W49" i="19" s="1"/>
  <c r="AE49" i="19" s="1"/>
  <c r="O49" i="19"/>
  <c r="L49" i="19"/>
  <c r="Q49" i="19" s="1"/>
  <c r="K49" i="19"/>
  <c r="P49" i="19" s="1"/>
  <c r="E49" i="19"/>
  <c r="F49" i="19" s="1"/>
  <c r="AY29" i="19" l="1"/>
  <c r="AZ29" i="19"/>
  <c r="AX29" i="19"/>
  <c r="AX22" i="19"/>
  <c r="AY22" i="19"/>
  <c r="AZ22" i="19"/>
  <c r="T58" i="19"/>
  <c r="V55" i="19"/>
  <c r="U58" i="19"/>
  <c r="W55" i="19"/>
  <c r="AE55" i="19" s="1"/>
  <c r="V58" i="19"/>
  <c r="W58" i="19"/>
  <c r="AE58" i="19" s="1"/>
  <c r="W53" i="19"/>
  <c r="AE53" i="19" s="1"/>
  <c r="W56" i="19"/>
  <c r="AE56" i="19" s="1"/>
  <c r="T57" i="19"/>
  <c r="U57" i="19"/>
  <c r="V57" i="19"/>
  <c r="T56" i="19"/>
  <c r="U56" i="19"/>
  <c r="T55" i="19"/>
  <c r="T54" i="19"/>
  <c r="U54" i="19"/>
  <c r="V54" i="19"/>
  <c r="T53" i="19"/>
  <c r="U53" i="19"/>
  <c r="T52" i="19"/>
  <c r="U52" i="19"/>
  <c r="V52" i="19"/>
  <c r="T51" i="19"/>
  <c r="U51" i="19"/>
  <c r="V51" i="19"/>
  <c r="T50" i="19"/>
  <c r="U50" i="19"/>
  <c r="V50" i="19"/>
  <c r="T49" i="19"/>
  <c r="U49" i="19"/>
  <c r="V49" i="19"/>
  <c r="AE57" i="19"/>
  <c r="AE54" i="19"/>
  <c r="AE52" i="19"/>
  <c r="AE51" i="19"/>
  <c r="AE50" i="19"/>
  <c r="C16" i="29"/>
  <c r="C17" i="29"/>
  <c r="C18" i="29"/>
  <c r="C19" i="29"/>
  <c r="C20" i="29"/>
  <c r="C21" i="29"/>
  <c r="C22" i="29"/>
  <c r="C23" i="29"/>
  <c r="C24" i="29"/>
  <c r="C25" i="29"/>
  <c r="C26" i="29"/>
  <c r="C27" i="29"/>
  <c r="C28" i="29"/>
  <c r="C29" i="29"/>
  <c r="C30" i="29"/>
  <c r="C31" i="29"/>
  <c r="C32" i="29"/>
  <c r="C33" i="29"/>
  <c r="C34" i="29"/>
  <c r="C35" i="29"/>
  <c r="C36" i="29"/>
  <c r="C37" i="29"/>
  <c r="C38" i="29"/>
  <c r="C39" i="29"/>
  <c r="C40" i="29"/>
  <c r="C41" i="29"/>
  <c r="C42" i="29"/>
  <c r="C43" i="29"/>
  <c r="C44" i="29"/>
  <c r="C45" i="29"/>
  <c r="C46" i="29"/>
  <c r="C47" i="29"/>
  <c r="C48" i="29"/>
  <c r="C49" i="29"/>
  <c r="C50" i="29"/>
  <c r="C51" i="29"/>
  <c r="C52" i="29"/>
  <c r="C53" i="29"/>
  <c r="C54" i="29"/>
  <c r="D16" i="29"/>
  <c r="D17" i="29"/>
  <c r="D18" i="29"/>
  <c r="AC55" i="19" l="1"/>
  <c r="AJ55" i="19" s="1"/>
  <c r="AC56" i="19"/>
  <c r="AC53" i="19"/>
  <c r="AG53" i="19" s="1"/>
  <c r="AD56" i="19"/>
  <c r="AD53" i="19"/>
  <c r="AN53" i="19" s="1"/>
  <c r="AB55" i="19"/>
  <c r="AO55" i="19" s="1"/>
  <c r="AB58" i="19"/>
  <c r="AD58" i="19"/>
  <c r="AC58" i="19"/>
  <c r="AB56" i="19"/>
  <c r="AB53" i="19"/>
  <c r="AO53" i="19" s="1"/>
  <c r="AC57" i="19"/>
  <c r="AB57" i="19"/>
  <c r="AD57" i="19"/>
  <c r="AD55" i="19"/>
  <c r="AT55" i="19" s="1"/>
  <c r="AD54" i="19"/>
  <c r="AQ54" i="19" s="1"/>
  <c r="AC54" i="19"/>
  <c r="AJ54" i="19" s="1"/>
  <c r="AB54" i="19"/>
  <c r="AU54" i="19" s="1"/>
  <c r="AD52" i="19"/>
  <c r="AH52" i="19" s="1"/>
  <c r="AC52" i="19"/>
  <c r="AM52" i="19" s="1"/>
  <c r="AB52" i="19"/>
  <c r="AO52" i="19" s="1"/>
  <c r="AD51" i="19"/>
  <c r="AC51" i="19"/>
  <c r="AB51" i="19"/>
  <c r="AD50" i="19"/>
  <c r="AN50" i="19" s="1"/>
  <c r="AB50" i="19"/>
  <c r="AL50" i="19" s="1"/>
  <c r="AC50" i="19"/>
  <c r="AP50" i="19" s="1"/>
  <c r="AD49" i="19"/>
  <c r="AC49" i="19"/>
  <c r="AB49" i="19"/>
  <c r="D22" i="29"/>
  <c r="AM55" i="19" l="1"/>
  <c r="AG55" i="19"/>
  <c r="AV55" i="19"/>
  <c r="AU55" i="19"/>
  <c r="AP55" i="19"/>
  <c r="AR55" i="19"/>
  <c r="AF55" i="19"/>
  <c r="AR52" i="19"/>
  <c r="AI52" i="19"/>
  <c r="AS55" i="19"/>
  <c r="AU52" i="19"/>
  <c r="AI55" i="19"/>
  <c r="AL52" i="19"/>
  <c r="AP53" i="19"/>
  <c r="AJ53" i="19"/>
  <c r="AV53" i="19"/>
  <c r="AL55" i="19"/>
  <c r="AM53" i="19"/>
  <c r="AS53" i="19"/>
  <c r="AW53" i="19"/>
  <c r="AK53" i="19"/>
  <c r="AF50" i="19"/>
  <c r="AO50" i="19"/>
  <c r="AN54" i="19"/>
  <c r="AF52" i="19"/>
  <c r="AQ53" i="19"/>
  <c r="AR50" i="19"/>
  <c r="AU53" i="19"/>
  <c r="AI53" i="19"/>
  <c r="AL53" i="19"/>
  <c r="AH53" i="19"/>
  <c r="AW54" i="19"/>
  <c r="AT54" i="19"/>
  <c r="AM58" i="19"/>
  <c r="AP58" i="19"/>
  <c r="AS58" i="19"/>
  <c r="AV58" i="19"/>
  <c r="AG58" i="19"/>
  <c r="AJ58" i="19"/>
  <c r="AU50" i="19"/>
  <c r="AI50" i="19"/>
  <c r="AT53" i="19"/>
  <c r="AR53" i="19"/>
  <c r="AK54" i="19"/>
  <c r="AO54" i="19"/>
  <c r="AT58" i="19"/>
  <c r="AN58" i="19"/>
  <c r="AH58" i="19"/>
  <c r="AK58" i="19"/>
  <c r="AW58" i="19"/>
  <c r="AQ58" i="19"/>
  <c r="AO58" i="19"/>
  <c r="AF58" i="19"/>
  <c r="AL58" i="19"/>
  <c r="AI58" i="19"/>
  <c r="AR58" i="19"/>
  <c r="AU58" i="19"/>
  <c r="AF53" i="19"/>
  <c r="AN52" i="19"/>
  <c r="AW52" i="19"/>
  <c r="AP52" i="19"/>
  <c r="AQ55" i="19"/>
  <c r="AN55" i="19"/>
  <c r="AK55" i="19"/>
  <c r="AH55" i="19"/>
  <c r="AW55" i="19"/>
  <c r="AL54" i="19"/>
  <c r="AF54" i="19"/>
  <c r="AR54" i="19"/>
  <c r="AI54" i="19"/>
  <c r="AS52" i="19"/>
  <c r="AK52" i="19"/>
  <c r="AQ52" i="19"/>
  <c r="AT52" i="19"/>
  <c r="AG52" i="19"/>
  <c r="AV52" i="19"/>
  <c r="AJ52" i="19"/>
  <c r="AI56" i="19"/>
  <c r="AU56" i="19"/>
  <c r="AF56" i="19"/>
  <c r="AL56" i="19"/>
  <c r="AO56" i="19"/>
  <c r="AR56" i="19"/>
  <c r="AV54" i="19"/>
  <c r="AM54" i="19"/>
  <c r="AG54" i="19"/>
  <c r="AP54" i="19"/>
  <c r="AN57" i="19"/>
  <c r="AW57" i="19"/>
  <c r="AK57" i="19"/>
  <c r="AT57" i="19"/>
  <c r="AQ57" i="19"/>
  <c r="AH57" i="19"/>
  <c r="AJ57" i="19"/>
  <c r="AV57" i="19"/>
  <c r="AG57" i="19"/>
  <c r="AS57" i="19"/>
  <c r="AM57" i="19"/>
  <c r="AP57" i="19"/>
  <c r="AS54" i="19"/>
  <c r="AI57" i="19"/>
  <c r="AU57" i="19"/>
  <c r="AO57" i="19"/>
  <c r="AR57" i="19"/>
  <c r="AF57" i="19"/>
  <c r="AL57" i="19"/>
  <c r="AN56" i="19"/>
  <c r="AQ56" i="19"/>
  <c r="AW56" i="19"/>
  <c r="AT56" i="19"/>
  <c r="AK56" i="19"/>
  <c r="AH56" i="19"/>
  <c r="AH54" i="19"/>
  <c r="AM56" i="19"/>
  <c r="AG56" i="19"/>
  <c r="AV56" i="19"/>
  <c r="AS56" i="19"/>
  <c r="AP56" i="19"/>
  <c r="AJ56" i="19"/>
  <c r="AV50" i="19"/>
  <c r="AJ50" i="19"/>
  <c r="AW50" i="19"/>
  <c r="AK50" i="19"/>
  <c r="AH50" i="19"/>
  <c r="AQ50" i="19"/>
  <c r="AG50" i="19"/>
  <c r="AM50" i="19"/>
  <c r="AS50" i="19"/>
  <c r="AT50" i="19"/>
  <c r="AN51" i="19"/>
  <c r="AT51" i="19"/>
  <c r="AH51" i="19"/>
  <c r="AW51" i="19"/>
  <c r="AQ51" i="19"/>
  <c r="AK51" i="19"/>
  <c r="AI51" i="19"/>
  <c r="AU51" i="19"/>
  <c r="AL51" i="19"/>
  <c r="AR51" i="19"/>
  <c r="AF51" i="19"/>
  <c r="AO51" i="19"/>
  <c r="AM51" i="19"/>
  <c r="AS51" i="19"/>
  <c r="AG51" i="19"/>
  <c r="AP51" i="19"/>
  <c r="AV51" i="19"/>
  <c r="AJ51" i="19"/>
  <c r="AI49" i="19"/>
  <c r="AU49" i="19"/>
  <c r="AL49" i="19"/>
  <c r="AR49" i="19"/>
  <c r="AF49" i="19"/>
  <c r="AO49" i="19"/>
  <c r="AN49" i="19"/>
  <c r="AW49" i="19"/>
  <c r="AQ49" i="19"/>
  <c r="AK49" i="19"/>
  <c r="AT49" i="19"/>
  <c r="AH49" i="19"/>
  <c r="AM49" i="19"/>
  <c r="AG49" i="19"/>
  <c r="AP49" i="19"/>
  <c r="AS49" i="19"/>
  <c r="AV49" i="19"/>
  <c r="AJ49" i="19"/>
  <c r="D56" i="29"/>
  <c r="D55" i="29"/>
  <c r="D54" i="29"/>
  <c r="D53" i="29"/>
  <c r="D52" i="29"/>
  <c r="D51" i="29"/>
  <c r="D50" i="29"/>
  <c r="D49" i="29"/>
  <c r="D48" i="29"/>
  <c r="D47" i="29"/>
  <c r="D46" i="29"/>
  <c r="D45" i="29"/>
  <c r="D44" i="29"/>
  <c r="D43" i="29"/>
  <c r="D42" i="29"/>
  <c r="D41" i="29"/>
  <c r="D40" i="29"/>
  <c r="D39" i="29"/>
  <c r="D38" i="29"/>
  <c r="D37" i="29"/>
  <c r="D36" i="29"/>
  <c r="D35" i="29"/>
  <c r="D34" i="29"/>
  <c r="D33" i="29"/>
  <c r="D32" i="29"/>
  <c r="D31" i="29"/>
  <c r="D30" i="29"/>
  <c r="D29" i="29"/>
  <c r="D28" i="29"/>
  <c r="D27" i="29"/>
  <c r="D26" i="29"/>
  <c r="D25" i="29"/>
  <c r="D24" i="29"/>
  <c r="D23" i="29"/>
  <c r="D21" i="29"/>
  <c r="D20" i="29"/>
  <c r="D19" i="29"/>
  <c r="AY55" i="19" l="1"/>
  <c r="AX52" i="19"/>
  <c r="AX55" i="19"/>
  <c r="AX53" i="19"/>
  <c r="AY53" i="19"/>
  <c r="AX50" i="19"/>
  <c r="AZ53" i="19"/>
  <c r="AZ54" i="19"/>
  <c r="AY52" i="19"/>
  <c r="AZ52" i="19"/>
  <c r="AZ58" i="19"/>
  <c r="AX54" i="19"/>
  <c r="AX58" i="19"/>
  <c r="AY58" i="19"/>
  <c r="AX57" i="19"/>
  <c r="AZ57" i="19"/>
  <c r="AZ55" i="19"/>
  <c r="AY57" i="19"/>
  <c r="AY50" i="19"/>
  <c r="AY54" i="19"/>
  <c r="AZ56" i="19"/>
  <c r="AY56" i="19"/>
  <c r="AX56" i="19"/>
  <c r="AZ50" i="19"/>
  <c r="AX51" i="19"/>
  <c r="AY51" i="19"/>
  <c r="AZ51" i="19"/>
  <c r="AY49" i="19"/>
  <c r="AZ49" i="19"/>
  <c r="AX49" i="19"/>
  <c r="K25" i="19"/>
  <c r="K28" i="19"/>
  <c r="S48" i="19" l="1"/>
  <c r="W48" i="19" s="1"/>
  <c r="AE48" i="19" s="1"/>
  <c r="O48" i="19"/>
  <c r="L48" i="19"/>
  <c r="Q48" i="19" s="1"/>
  <c r="K48" i="19"/>
  <c r="P48" i="19" s="1"/>
  <c r="E48" i="19"/>
  <c r="F48" i="19" s="1"/>
  <c r="S47" i="19"/>
  <c r="W47" i="19" s="1"/>
  <c r="AE47" i="19" s="1"/>
  <c r="O47" i="19"/>
  <c r="L47" i="19"/>
  <c r="Q47" i="19" s="1"/>
  <c r="K47" i="19"/>
  <c r="P47" i="19" s="1"/>
  <c r="S46" i="19"/>
  <c r="W46" i="19" s="1"/>
  <c r="AE46" i="19" s="1"/>
  <c r="O46" i="19"/>
  <c r="L46" i="19"/>
  <c r="Q46" i="19" s="1"/>
  <c r="K46" i="19"/>
  <c r="P46" i="19" s="1"/>
  <c r="S45" i="19"/>
  <c r="U45" i="19" s="1"/>
  <c r="O45" i="19"/>
  <c r="L45" i="19"/>
  <c r="Q45" i="19" s="1"/>
  <c r="K45" i="19"/>
  <c r="P45" i="19" s="1"/>
  <c r="S44" i="19"/>
  <c r="U44" i="19" s="1"/>
  <c r="O44" i="19"/>
  <c r="L44" i="19"/>
  <c r="Q44" i="19" s="1"/>
  <c r="K44" i="19"/>
  <c r="P44" i="19" s="1"/>
  <c r="S43" i="19"/>
  <c r="O43" i="19"/>
  <c r="L43" i="19"/>
  <c r="Q43" i="19" s="1"/>
  <c r="K43" i="19"/>
  <c r="P43" i="19" s="1"/>
  <c r="S42" i="19"/>
  <c r="O42" i="19"/>
  <c r="L42" i="19"/>
  <c r="Q42" i="19" s="1"/>
  <c r="K42" i="19"/>
  <c r="P42" i="19" s="1"/>
  <c r="S41" i="19"/>
  <c r="O41" i="19"/>
  <c r="L41" i="19"/>
  <c r="Q41" i="19" s="1"/>
  <c r="K41" i="19"/>
  <c r="P41" i="19" s="1"/>
  <c r="S40" i="19"/>
  <c r="O40" i="19"/>
  <c r="L40" i="19"/>
  <c r="Q40" i="19" s="1"/>
  <c r="K40" i="19"/>
  <c r="P40" i="19" s="1"/>
  <c r="S39" i="19"/>
  <c r="W39" i="19" s="1"/>
  <c r="AE39" i="19" s="1"/>
  <c r="O39" i="19"/>
  <c r="L39" i="19"/>
  <c r="Q39" i="19" s="1"/>
  <c r="K39" i="19"/>
  <c r="P39" i="19" s="1"/>
  <c r="S38" i="19"/>
  <c r="W38" i="19" s="1"/>
  <c r="AE38" i="19" s="1"/>
  <c r="O38" i="19"/>
  <c r="L38" i="19"/>
  <c r="Q38" i="19" s="1"/>
  <c r="K38" i="19"/>
  <c r="P38" i="19" s="1"/>
  <c r="S37" i="19"/>
  <c r="V37" i="19" s="1"/>
  <c r="O37" i="19"/>
  <c r="L37" i="19"/>
  <c r="Q37" i="19" s="1"/>
  <c r="K37" i="19"/>
  <c r="P37" i="19" s="1"/>
  <c r="S36" i="19"/>
  <c r="W36" i="19" s="1"/>
  <c r="AE36" i="19" s="1"/>
  <c r="O36" i="19"/>
  <c r="L36" i="19"/>
  <c r="Q36" i="19" s="1"/>
  <c r="K36" i="19"/>
  <c r="P36" i="19" s="1"/>
  <c r="S35" i="19"/>
  <c r="W35" i="19" s="1"/>
  <c r="AE35" i="19" s="1"/>
  <c r="O35" i="19"/>
  <c r="L35" i="19"/>
  <c r="Q35" i="19" s="1"/>
  <c r="K35" i="19"/>
  <c r="P35" i="19" s="1"/>
  <c r="S34" i="19"/>
  <c r="V34" i="19" s="1"/>
  <c r="O34" i="19"/>
  <c r="L34" i="19"/>
  <c r="Q34" i="19" s="1"/>
  <c r="K34" i="19"/>
  <c r="P34" i="19" s="1"/>
  <c r="S33" i="19"/>
  <c r="V33" i="19" s="1"/>
  <c r="O33" i="19"/>
  <c r="L33" i="19"/>
  <c r="Q33" i="19" s="1"/>
  <c r="K33" i="19"/>
  <c r="P33" i="19" s="1"/>
  <c r="S32" i="19"/>
  <c r="V32" i="19" s="1"/>
  <c r="O32" i="19"/>
  <c r="L32" i="19"/>
  <c r="Q32" i="19" s="1"/>
  <c r="K32" i="19"/>
  <c r="P32" i="19" s="1"/>
  <c r="S31" i="19"/>
  <c r="O31" i="19"/>
  <c r="L31" i="19"/>
  <c r="Q31" i="19" s="1"/>
  <c r="K31" i="19"/>
  <c r="P31" i="19" s="1"/>
  <c r="S30" i="19"/>
  <c r="O30" i="19"/>
  <c r="L30" i="19"/>
  <c r="Q30" i="19" s="1"/>
  <c r="K30" i="19"/>
  <c r="P30" i="19" s="1"/>
  <c r="S28" i="19"/>
  <c r="T28" i="19" s="1"/>
  <c r="O28" i="19"/>
  <c r="L28" i="19"/>
  <c r="Q28" i="19" s="1"/>
  <c r="P28" i="19"/>
  <c r="S27" i="19"/>
  <c r="W27" i="19" s="1"/>
  <c r="AE27" i="19" s="1"/>
  <c r="O27" i="19"/>
  <c r="L27" i="19"/>
  <c r="Q27" i="19" s="1"/>
  <c r="K27" i="19"/>
  <c r="P27" i="19" s="1"/>
  <c r="S26" i="19"/>
  <c r="W26" i="19" s="1"/>
  <c r="AE26" i="19" s="1"/>
  <c r="O26" i="19"/>
  <c r="L26" i="19"/>
  <c r="Q26" i="19" s="1"/>
  <c r="K26" i="19"/>
  <c r="P26" i="19" s="1"/>
  <c r="S25" i="19"/>
  <c r="U25" i="19" s="1"/>
  <c r="O25" i="19"/>
  <c r="L25" i="19"/>
  <c r="Q25" i="19" s="1"/>
  <c r="P25" i="19"/>
  <c r="S24" i="19"/>
  <c r="V24" i="19" s="1"/>
  <c r="O24" i="19"/>
  <c r="L24" i="19"/>
  <c r="Q24" i="19" s="1"/>
  <c r="K24" i="19"/>
  <c r="P24" i="19" s="1"/>
  <c r="S23" i="19"/>
  <c r="W23" i="19" s="1"/>
  <c r="AE23" i="19" s="1"/>
  <c r="O23" i="19"/>
  <c r="L23" i="19"/>
  <c r="Q23" i="19" s="1"/>
  <c r="K23" i="19"/>
  <c r="P23" i="19" s="1"/>
  <c r="S21" i="19"/>
  <c r="W21" i="19" s="1"/>
  <c r="AE21" i="19" s="1"/>
  <c r="O21" i="19"/>
  <c r="L21" i="19"/>
  <c r="Q21" i="19" s="1"/>
  <c r="K21" i="19"/>
  <c r="P21" i="19" s="1"/>
  <c r="S20" i="19"/>
  <c r="W20" i="19" s="1"/>
  <c r="AE20" i="19" s="1"/>
  <c r="O20" i="19"/>
  <c r="L20" i="19"/>
  <c r="Q20" i="19" s="1"/>
  <c r="K20" i="19"/>
  <c r="P20" i="19" s="1"/>
  <c r="E47" i="19"/>
  <c r="F47" i="19" s="1"/>
  <c r="E46" i="19"/>
  <c r="F46" i="19" s="1"/>
  <c r="E45" i="19"/>
  <c r="F45" i="19" s="1"/>
  <c r="E44" i="19"/>
  <c r="F44" i="19" s="1"/>
  <c r="E43" i="19"/>
  <c r="F43" i="19" s="1"/>
  <c r="E42" i="19"/>
  <c r="F42" i="19" s="1"/>
  <c r="E41" i="19"/>
  <c r="F41" i="19" s="1"/>
  <c r="E40" i="19"/>
  <c r="F40" i="19" s="1"/>
  <c r="E39" i="19"/>
  <c r="F39" i="19" s="1"/>
  <c r="P92" i="3"/>
  <c r="S92" i="3" s="1"/>
  <c r="O92" i="3"/>
  <c r="R92" i="3" s="1"/>
  <c r="N92" i="3"/>
  <c r="Q92" i="3" s="1"/>
  <c r="U92" i="3"/>
  <c r="Y92" i="3" s="1"/>
  <c r="Z92" i="3" s="1"/>
  <c r="L19" i="19"/>
  <c r="K19" i="19"/>
  <c r="K91" i="3"/>
  <c r="P91" i="3" s="1"/>
  <c r="J91" i="3"/>
  <c r="O91" i="3" s="1"/>
  <c r="K90" i="3"/>
  <c r="J90" i="3"/>
  <c r="K89" i="3"/>
  <c r="J89" i="3"/>
  <c r="K88" i="3"/>
  <c r="J88" i="3"/>
  <c r="K87" i="3"/>
  <c r="J87" i="3"/>
  <c r="K86" i="3"/>
  <c r="J86" i="3"/>
  <c r="K85" i="3"/>
  <c r="J85" i="3"/>
  <c r="K84" i="3"/>
  <c r="J84" i="3"/>
  <c r="K83" i="3"/>
  <c r="J83" i="3"/>
  <c r="K82" i="3"/>
  <c r="J82" i="3"/>
  <c r="K81" i="3"/>
  <c r="J81" i="3"/>
  <c r="K80" i="3"/>
  <c r="J80" i="3"/>
  <c r="K79" i="3"/>
  <c r="J79" i="3"/>
  <c r="K78" i="3"/>
  <c r="J78" i="3"/>
  <c r="K77" i="3"/>
  <c r="J77" i="3"/>
  <c r="K76" i="3"/>
  <c r="J76" i="3"/>
  <c r="K75" i="3"/>
  <c r="J75" i="3"/>
  <c r="K74" i="3"/>
  <c r="J74" i="3"/>
  <c r="K73" i="3"/>
  <c r="J73" i="3"/>
  <c r="K72" i="3"/>
  <c r="J72" i="3"/>
  <c r="K71" i="3"/>
  <c r="J71" i="3"/>
  <c r="K70" i="3"/>
  <c r="J70" i="3"/>
  <c r="K69" i="3"/>
  <c r="J69" i="3"/>
  <c r="K68" i="3"/>
  <c r="J68" i="3"/>
  <c r="K67" i="3"/>
  <c r="J67" i="3"/>
  <c r="K66" i="3"/>
  <c r="J66" i="3"/>
  <c r="K65" i="3"/>
  <c r="J65" i="3"/>
  <c r="K64" i="3"/>
  <c r="J64" i="3"/>
  <c r="K63" i="3"/>
  <c r="J63" i="3"/>
  <c r="K62" i="3"/>
  <c r="J62" i="3"/>
  <c r="K61" i="3"/>
  <c r="J61" i="3"/>
  <c r="K60" i="3"/>
  <c r="J60" i="3"/>
  <c r="K59" i="3"/>
  <c r="J59" i="3"/>
  <c r="K58" i="3"/>
  <c r="J58" i="3"/>
  <c r="K57" i="3"/>
  <c r="J57" i="3"/>
  <c r="K56" i="3"/>
  <c r="J56" i="3"/>
  <c r="K55" i="3"/>
  <c r="J55" i="3"/>
  <c r="K54" i="3"/>
  <c r="J54" i="3"/>
  <c r="K52" i="3"/>
  <c r="J52" i="3"/>
  <c r="K51" i="3"/>
  <c r="J51" i="3"/>
  <c r="K50" i="3"/>
  <c r="J50" i="3"/>
  <c r="K49" i="3"/>
  <c r="J49" i="3"/>
  <c r="K48" i="3"/>
  <c r="J48" i="3"/>
  <c r="K47" i="3"/>
  <c r="J47" i="3"/>
  <c r="K46" i="3"/>
  <c r="J46" i="3"/>
  <c r="K45" i="3"/>
  <c r="J45" i="3"/>
  <c r="K44" i="3"/>
  <c r="J44" i="3"/>
  <c r="K43" i="3"/>
  <c r="J43" i="3"/>
  <c r="K42" i="3"/>
  <c r="J42" i="3"/>
  <c r="K41" i="3"/>
  <c r="J41" i="3"/>
  <c r="K40" i="3"/>
  <c r="J40" i="3"/>
  <c r="K39" i="3"/>
  <c r="J39" i="3"/>
  <c r="K38" i="3"/>
  <c r="J38" i="3"/>
  <c r="K37" i="3"/>
  <c r="J37" i="3"/>
  <c r="K36" i="3"/>
  <c r="J36" i="3"/>
  <c r="K35" i="3"/>
  <c r="J35" i="3"/>
  <c r="K34" i="3"/>
  <c r="J34" i="3"/>
  <c r="K33" i="3"/>
  <c r="J33" i="3"/>
  <c r="K32" i="3"/>
  <c r="J32" i="3"/>
  <c r="K31" i="3"/>
  <c r="J31" i="3"/>
  <c r="K30" i="3"/>
  <c r="J30" i="3"/>
  <c r="K29" i="3"/>
  <c r="J29" i="3"/>
  <c r="K28" i="3"/>
  <c r="J28" i="3"/>
  <c r="K27" i="3"/>
  <c r="J27" i="3"/>
  <c r="K26" i="3"/>
  <c r="J26" i="3"/>
  <c r="K25" i="3"/>
  <c r="J25" i="3"/>
  <c r="K24" i="3"/>
  <c r="J24" i="3"/>
  <c r="K23" i="3"/>
  <c r="J23" i="3"/>
  <c r="K22" i="3"/>
  <c r="J22" i="3"/>
  <c r="K21" i="3"/>
  <c r="J21" i="3"/>
  <c r="K20" i="3"/>
  <c r="J20" i="3"/>
  <c r="K19" i="3"/>
  <c r="J19" i="3"/>
  <c r="K18" i="3"/>
  <c r="J18" i="3"/>
  <c r="L28" i="3"/>
  <c r="L21" i="3"/>
  <c r="E21" i="19"/>
  <c r="F21" i="19" s="1"/>
  <c r="E25" i="19"/>
  <c r="F25" i="19" s="1"/>
  <c r="E26" i="19"/>
  <c r="F26" i="19" s="1"/>
  <c r="E27" i="19"/>
  <c r="F27" i="19" s="1"/>
  <c r="E28" i="19"/>
  <c r="F28" i="19" s="1"/>
  <c r="E30" i="19"/>
  <c r="E31" i="19"/>
  <c r="E32" i="19"/>
  <c r="E33" i="19"/>
  <c r="E34" i="19"/>
  <c r="E35" i="19"/>
  <c r="E36" i="19"/>
  <c r="E37" i="19"/>
  <c r="E38" i="19"/>
  <c r="U91" i="3"/>
  <c r="V91" i="3" s="1"/>
  <c r="N91" i="3"/>
  <c r="V21" i="19" l="1"/>
  <c r="W33" i="19"/>
  <c r="AE33" i="19" s="1"/>
  <c r="V20" i="19"/>
  <c r="V48" i="19"/>
  <c r="W32" i="19"/>
  <c r="AE32" i="19" s="1"/>
  <c r="U37" i="19"/>
  <c r="W37" i="19"/>
  <c r="AE37" i="19" s="1"/>
  <c r="U21" i="19"/>
  <c r="U33" i="19"/>
  <c r="V36" i="19"/>
  <c r="V38" i="19"/>
  <c r="T48" i="19"/>
  <c r="T24" i="19"/>
  <c r="U48" i="19"/>
  <c r="V25" i="19"/>
  <c r="W34" i="19"/>
  <c r="AE34" i="19" s="1"/>
  <c r="U36" i="19"/>
  <c r="V45" i="19"/>
  <c r="U24" i="19"/>
  <c r="T44" i="19"/>
  <c r="V46" i="19"/>
  <c r="T26" i="19"/>
  <c r="T32" i="19"/>
  <c r="T20" i="19"/>
  <c r="V26" i="19"/>
  <c r="U32" i="19"/>
  <c r="U20" i="19"/>
  <c r="T36" i="19"/>
  <c r="T43" i="19"/>
  <c r="W43" i="19"/>
  <c r="AE43" i="19" s="1"/>
  <c r="V43" i="19"/>
  <c r="U43" i="19"/>
  <c r="T31" i="19"/>
  <c r="W31" i="19"/>
  <c r="AE31" i="19" s="1"/>
  <c r="V31" i="19"/>
  <c r="U31" i="19"/>
  <c r="T21" i="19"/>
  <c r="V23" i="19"/>
  <c r="W24" i="19"/>
  <c r="AE24" i="19" s="1"/>
  <c r="T33" i="19"/>
  <c r="U34" i="19"/>
  <c r="V35" i="19"/>
  <c r="T45" i="19"/>
  <c r="U46" i="19"/>
  <c r="V47" i="19"/>
  <c r="T30" i="19"/>
  <c r="T42" i="19"/>
  <c r="V44" i="19"/>
  <c r="W45" i="19"/>
  <c r="AE45" i="19" s="1"/>
  <c r="U30" i="19"/>
  <c r="T41" i="19"/>
  <c r="U42" i="19"/>
  <c r="W44" i="19"/>
  <c r="AE44" i="19" s="1"/>
  <c r="V30" i="19"/>
  <c r="T40" i="19"/>
  <c r="U41" i="19"/>
  <c r="V42" i="19"/>
  <c r="T27" i="19"/>
  <c r="U28" i="19"/>
  <c r="W30" i="19"/>
  <c r="AE30" i="19" s="1"/>
  <c r="T39" i="19"/>
  <c r="U40" i="19"/>
  <c r="V41" i="19"/>
  <c r="W42" i="19"/>
  <c r="AE42" i="19" s="1"/>
  <c r="U27" i="19"/>
  <c r="V28" i="19"/>
  <c r="T38" i="19"/>
  <c r="U39" i="19"/>
  <c r="V40" i="19"/>
  <c r="W41" i="19"/>
  <c r="AE41" i="19" s="1"/>
  <c r="T25" i="19"/>
  <c r="U26" i="19"/>
  <c r="V27" i="19"/>
  <c r="W28" i="19"/>
  <c r="AE28" i="19" s="1"/>
  <c r="T37" i="19"/>
  <c r="U38" i="19"/>
  <c r="V39" i="19"/>
  <c r="W40" i="19"/>
  <c r="AE40" i="19" s="1"/>
  <c r="T23" i="19"/>
  <c r="T35" i="19"/>
  <c r="T47" i="19"/>
  <c r="U23" i="19"/>
  <c r="W25" i="19"/>
  <c r="AE25" i="19" s="1"/>
  <c r="T34" i="19"/>
  <c r="U35" i="19"/>
  <c r="T46" i="19"/>
  <c r="U47" i="19"/>
  <c r="AF92" i="3"/>
  <c r="AI92" i="3"/>
  <c r="AL92" i="3"/>
  <c r="AR92" i="3"/>
  <c r="AJ92" i="3"/>
  <c r="AH92" i="3"/>
  <c r="AE92" i="3"/>
  <c r="AK92" i="3"/>
  <c r="AQ92" i="3"/>
  <c r="AA92" i="3"/>
  <c r="AM92" i="3"/>
  <c r="AB92" i="3"/>
  <c r="AN92" i="3"/>
  <c r="AC92" i="3"/>
  <c r="AO92" i="3"/>
  <c r="AD92" i="3"/>
  <c r="AP92" i="3"/>
  <c r="AG92" i="3"/>
  <c r="Y91" i="3"/>
  <c r="Z91" i="3" s="1"/>
  <c r="X91" i="3"/>
  <c r="W91" i="3"/>
  <c r="L57" i="3"/>
  <c r="L53" i="3"/>
  <c r="L66" i="3"/>
  <c r="AD34" i="19" l="1"/>
  <c r="AQ34" i="19" s="1"/>
  <c r="AB32" i="19"/>
  <c r="AU32" i="19" s="1"/>
  <c r="AD25" i="19"/>
  <c r="AW25" i="19" s="1"/>
  <c r="AD45" i="19"/>
  <c r="AW45" i="19" s="1"/>
  <c r="AC24" i="19"/>
  <c r="AG24" i="19" s="1"/>
  <c r="AB21" i="19"/>
  <c r="AI21" i="19" s="1"/>
  <c r="AB33" i="19"/>
  <c r="AF33" i="19" s="1"/>
  <c r="AC36" i="19"/>
  <c r="AV36" i="19" s="1"/>
  <c r="AB20" i="19"/>
  <c r="AR20" i="19" s="1"/>
  <c r="AD33" i="19"/>
  <c r="AW33" i="19" s="1"/>
  <c r="AD21" i="19"/>
  <c r="AQ21" i="19" s="1"/>
  <c r="AC33" i="19"/>
  <c r="AG33" i="19" s="1"/>
  <c r="AB36" i="19"/>
  <c r="AU36" i="19" s="1"/>
  <c r="AD46" i="19"/>
  <c r="AW46" i="19" s="1"/>
  <c r="AD38" i="19"/>
  <c r="AK38" i="19" s="1"/>
  <c r="AD37" i="19"/>
  <c r="AW37" i="19" s="1"/>
  <c r="AD48" i="19"/>
  <c r="AC48" i="19"/>
  <c r="AB48" i="19"/>
  <c r="AC34" i="19"/>
  <c r="AS34" i="19" s="1"/>
  <c r="AC20" i="19"/>
  <c r="AJ20" i="19" s="1"/>
  <c r="AB37" i="19"/>
  <c r="AL37" i="19" s="1"/>
  <c r="AC32" i="19"/>
  <c r="AV32" i="19" s="1"/>
  <c r="AD26" i="19"/>
  <c r="AW26" i="19" s="1"/>
  <c r="AD20" i="19"/>
  <c r="AT20" i="19" s="1"/>
  <c r="AB24" i="19"/>
  <c r="AD36" i="19"/>
  <c r="AC45" i="19"/>
  <c r="AV45" i="19" s="1"/>
  <c r="AD24" i="19"/>
  <c r="AD32" i="19"/>
  <c r="AT32" i="19" s="1"/>
  <c r="AD35" i="19"/>
  <c r="AC35" i="19"/>
  <c r="AB35" i="19"/>
  <c r="AC37" i="19"/>
  <c r="AC26" i="19"/>
  <c r="AC31" i="19"/>
  <c r="AB31" i="19"/>
  <c r="AD31" i="19"/>
  <c r="AB45" i="19"/>
  <c r="AC28" i="19"/>
  <c r="AD28" i="19"/>
  <c r="AB28" i="19"/>
  <c r="AC25" i="19"/>
  <c r="AB26" i="19"/>
  <c r="AC21" i="19"/>
  <c r="AD44" i="19"/>
  <c r="AC44" i="19"/>
  <c r="AB44" i="19"/>
  <c r="AB27" i="19"/>
  <c r="AD27" i="19"/>
  <c r="AC27" i="19"/>
  <c r="AB25" i="19"/>
  <c r="AC43" i="19"/>
  <c r="AB43" i="19"/>
  <c r="AD43" i="19"/>
  <c r="AB34" i="19"/>
  <c r="AB46" i="19"/>
  <c r="AC46" i="19"/>
  <c r="AC38" i="19"/>
  <c r="AB42" i="19"/>
  <c r="AC42" i="19"/>
  <c r="AD42" i="19"/>
  <c r="AB38" i="19"/>
  <c r="AD47" i="19"/>
  <c r="AC47" i="19"/>
  <c r="AB47" i="19"/>
  <c r="AD39" i="19"/>
  <c r="AC39" i="19"/>
  <c r="AB39" i="19"/>
  <c r="AC40" i="19"/>
  <c r="AD40" i="19"/>
  <c r="AB40" i="19"/>
  <c r="AB30" i="19"/>
  <c r="AC30" i="19"/>
  <c r="AD30" i="19"/>
  <c r="AD23" i="19"/>
  <c r="AC23" i="19"/>
  <c r="AB23" i="19"/>
  <c r="AD41" i="19"/>
  <c r="AB41" i="19"/>
  <c r="AC41" i="19"/>
  <c r="AT92" i="3"/>
  <c r="AU92" i="3"/>
  <c r="AS92" i="3"/>
  <c r="Q91" i="3"/>
  <c r="AJ91" i="3" s="1"/>
  <c r="R91" i="3"/>
  <c r="AE91" i="3" s="1"/>
  <c r="S91" i="3"/>
  <c r="AO91" i="3" s="1"/>
  <c r="AR32" i="19" l="1"/>
  <c r="AK34" i="19"/>
  <c r="AW34" i="19"/>
  <c r="AT34" i="19"/>
  <c r="AH34" i="19"/>
  <c r="AN34" i="19"/>
  <c r="AI32" i="19"/>
  <c r="AO32" i="19"/>
  <c r="AL32" i="19"/>
  <c r="AR33" i="19"/>
  <c r="AF32" i="19"/>
  <c r="AU33" i="19"/>
  <c r="AL33" i="19"/>
  <c r="AO33" i="19"/>
  <c r="AI33" i="19"/>
  <c r="AR37" i="19"/>
  <c r="AO21" i="19"/>
  <c r="AT25" i="19"/>
  <c r="AJ36" i="19"/>
  <c r="AN45" i="19"/>
  <c r="AQ25" i="19"/>
  <c r="AW38" i="19"/>
  <c r="AN25" i="19"/>
  <c r="AG36" i="19"/>
  <c r="AF21" i="19"/>
  <c r="AR21" i="19"/>
  <c r="AU21" i="19"/>
  <c r="AM36" i="19"/>
  <c r="AH25" i="19"/>
  <c r="AP36" i="19"/>
  <c r="AS36" i="19"/>
  <c r="AK25" i="19"/>
  <c r="AL20" i="19"/>
  <c r="AV34" i="19"/>
  <c r="AK45" i="19"/>
  <c r="AV24" i="19"/>
  <c r="AH45" i="19"/>
  <c r="AQ45" i="19"/>
  <c r="AT45" i="19"/>
  <c r="AG20" i="19"/>
  <c r="AM24" i="19"/>
  <c r="AL21" i="19"/>
  <c r="AJ24" i="19"/>
  <c r="AS24" i="19"/>
  <c r="AP24" i="19"/>
  <c r="AH21" i="19"/>
  <c r="AT21" i="19"/>
  <c r="AK21" i="19"/>
  <c r="AN21" i="19"/>
  <c r="AW21" i="19"/>
  <c r="AT38" i="19"/>
  <c r="AJ32" i="19"/>
  <c r="AM32" i="19"/>
  <c r="AT26" i="19"/>
  <c r="AN46" i="19"/>
  <c r="AG91" i="3"/>
  <c r="AM33" i="19"/>
  <c r="AG34" i="19"/>
  <c r="AV33" i="19"/>
  <c r="AF36" i="19"/>
  <c r="AJ33" i="19"/>
  <c r="AO37" i="19"/>
  <c r="AQ32" i="19"/>
  <c r="AI36" i="19"/>
  <c r="AO20" i="19"/>
  <c r="AU20" i="19"/>
  <c r="AI20" i="19"/>
  <c r="AF20" i="19"/>
  <c r="AM20" i="19"/>
  <c r="AP20" i="19"/>
  <c r="AS20" i="19"/>
  <c r="AV20" i="19"/>
  <c r="AP33" i="19"/>
  <c r="AS33" i="19"/>
  <c r="AH38" i="19"/>
  <c r="AK37" i="19"/>
  <c r="AQ33" i="19"/>
  <c r="AT33" i="19"/>
  <c r="AL36" i="19"/>
  <c r="AK33" i="19"/>
  <c r="AU37" i="19"/>
  <c r="AN37" i="19"/>
  <c r="AR36" i="19"/>
  <c r="AH33" i="19"/>
  <c r="AN33" i="19"/>
  <c r="AQ37" i="19"/>
  <c r="AK32" i="19"/>
  <c r="AH37" i="19"/>
  <c r="AN38" i="19"/>
  <c r="AF37" i="19"/>
  <c r="AT37" i="19"/>
  <c r="AQ38" i="19"/>
  <c r="AO36" i="19"/>
  <c r="AI37" i="19"/>
  <c r="AP45" i="19"/>
  <c r="AO48" i="19"/>
  <c r="AI48" i="19"/>
  <c r="AU48" i="19"/>
  <c r="AF48" i="19"/>
  <c r="AR48" i="19"/>
  <c r="AL48" i="19"/>
  <c r="AG45" i="19"/>
  <c r="AP48" i="19"/>
  <c r="AM48" i="19"/>
  <c r="AJ48" i="19"/>
  <c r="AV48" i="19"/>
  <c r="AG48" i="19"/>
  <c r="AS48" i="19"/>
  <c r="AT46" i="19"/>
  <c r="AK48" i="19"/>
  <c r="AW48" i="19"/>
  <c r="AN48" i="19"/>
  <c r="AH48" i="19"/>
  <c r="AT48" i="19"/>
  <c r="AQ48" i="19"/>
  <c r="AQ46" i="19"/>
  <c r="AH46" i="19"/>
  <c r="AJ45" i="19"/>
  <c r="AK46" i="19"/>
  <c r="AH32" i="19"/>
  <c r="AN32" i="19"/>
  <c r="AH26" i="19"/>
  <c r="AI24" i="19"/>
  <c r="AO24" i="19"/>
  <c r="AF24" i="19"/>
  <c r="AL24" i="19"/>
  <c r="AU24" i="19"/>
  <c r="AR24" i="19"/>
  <c r="AQ20" i="19"/>
  <c r="AG32" i="19"/>
  <c r="AS32" i="19"/>
  <c r="AP32" i="19"/>
  <c r="AW32" i="19"/>
  <c r="AH20" i="19"/>
  <c r="AK20" i="19"/>
  <c r="AN20" i="19"/>
  <c r="AW20" i="19"/>
  <c r="AQ24" i="19"/>
  <c r="AN24" i="19"/>
  <c r="AW24" i="19"/>
  <c r="AK24" i="19"/>
  <c r="AT24" i="19"/>
  <c r="AH24" i="19"/>
  <c r="AN26" i="19"/>
  <c r="AP34" i="19"/>
  <c r="AJ34" i="19"/>
  <c r="AM34" i="19"/>
  <c r="AQ26" i="19"/>
  <c r="AK26" i="19"/>
  <c r="AS45" i="19"/>
  <c r="AM45" i="19"/>
  <c r="AN36" i="19"/>
  <c r="AT36" i="19"/>
  <c r="AH36" i="19"/>
  <c r="AK36" i="19"/>
  <c r="AW36" i="19"/>
  <c r="AQ36" i="19"/>
  <c r="AQ27" i="19"/>
  <c r="AT27" i="19"/>
  <c r="AH27" i="19"/>
  <c r="AN27" i="19"/>
  <c r="AK27" i="19"/>
  <c r="AW27" i="19"/>
  <c r="AP46" i="19"/>
  <c r="AV46" i="19"/>
  <c r="AJ46" i="19"/>
  <c r="AM46" i="19"/>
  <c r="AG46" i="19"/>
  <c r="AS46" i="19"/>
  <c r="AW30" i="19"/>
  <c r="AK30" i="19"/>
  <c r="AN30" i="19"/>
  <c r="AT30" i="19"/>
  <c r="AH30" i="19"/>
  <c r="AQ30" i="19"/>
  <c r="AJ21" i="19"/>
  <c r="AP21" i="19"/>
  <c r="AV21" i="19"/>
  <c r="AG21" i="19"/>
  <c r="AS21" i="19"/>
  <c r="AM21" i="19"/>
  <c r="AS41" i="19"/>
  <c r="AG41" i="19"/>
  <c r="AJ41" i="19"/>
  <c r="AV41" i="19"/>
  <c r="AM41" i="19"/>
  <c r="AP41" i="19"/>
  <c r="AK41" i="19"/>
  <c r="AW41" i="19"/>
  <c r="AN41" i="19"/>
  <c r="AQ41" i="19"/>
  <c r="AT41" i="19"/>
  <c r="AH41" i="19"/>
  <c r="AR28" i="19"/>
  <c r="AF28" i="19"/>
  <c r="AU28" i="19"/>
  <c r="AI28" i="19"/>
  <c r="AL28" i="19"/>
  <c r="AO28" i="19"/>
  <c r="AQ40" i="19"/>
  <c r="AW40" i="19"/>
  <c r="AK40" i="19"/>
  <c r="AH40" i="19"/>
  <c r="AT40" i="19"/>
  <c r="AN40" i="19"/>
  <c r="AP42" i="19"/>
  <c r="AM42" i="19"/>
  <c r="AJ42" i="19"/>
  <c r="AV42" i="19"/>
  <c r="AG42" i="19"/>
  <c r="AS42" i="19"/>
  <c r="AL43" i="19"/>
  <c r="AU43" i="19"/>
  <c r="AI43" i="19"/>
  <c r="AO43" i="19"/>
  <c r="AF43" i="19"/>
  <c r="AR43" i="19"/>
  <c r="AU44" i="19"/>
  <c r="AI44" i="19"/>
  <c r="AF44" i="19"/>
  <c r="AR44" i="19"/>
  <c r="AO44" i="19"/>
  <c r="AL44" i="19"/>
  <c r="AQ28" i="19"/>
  <c r="AW28" i="19"/>
  <c r="AK28" i="19"/>
  <c r="AN28" i="19"/>
  <c r="AT28" i="19"/>
  <c r="AH28" i="19"/>
  <c r="AP35" i="19"/>
  <c r="AJ35" i="19"/>
  <c r="AM35" i="19"/>
  <c r="AV35" i="19"/>
  <c r="AG35" i="19"/>
  <c r="AS35" i="19"/>
  <c r="AR47" i="19"/>
  <c r="AO47" i="19"/>
  <c r="AL47" i="19"/>
  <c r="AI47" i="19"/>
  <c r="AU47" i="19"/>
  <c r="AF47" i="19"/>
  <c r="AU27" i="19"/>
  <c r="AI27" i="19"/>
  <c r="AF27" i="19"/>
  <c r="AO27" i="19"/>
  <c r="AR27" i="19"/>
  <c r="AL27" i="19"/>
  <c r="AQ35" i="19"/>
  <c r="AN35" i="19"/>
  <c r="AH35" i="19"/>
  <c r="AK35" i="19"/>
  <c r="AT35" i="19"/>
  <c r="AW35" i="19"/>
  <c r="AQ47" i="19"/>
  <c r="AK47" i="19"/>
  <c r="AW47" i="19"/>
  <c r="AN47" i="19"/>
  <c r="AT47" i="19"/>
  <c r="AH47" i="19"/>
  <c r="AV40" i="19"/>
  <c r="AJ40" i="19"/>
  <c r="AG40" i="19"/>
  <c r="AS40" i="19"/>
  <c r="AP40" i="19"/>
  <c r="AM40" i="19"/>
  <c r="AI42" i="19"/>
  <c r="AO42" i="19"/>
  <c r="AF42" i="19"/>
  <c r="AR42" i="19"/>
  <c r="AU42" i="19"/>
  <c r="AL42" i="19"/>
  <c r="AV43" i="19"/>
  <c r="AP43" i="19"/>
  <c r="AJ43" i="19"/>
  <c r="AM43" i="19"/>
  <c r="AS43" i="19"/>
  <c r="AG43" i="19"/>
  <c r="AV44" i="19"/>
  <c r="AJ44" i="19"/>
  <c r="AM44" i="19"/>
  <c r="AG44" i="19"/>
  <c r="AP44" i="19"/>
  <c r="AS44" i="19"/>
  <c r="AV28" i="19"/>
  <c r="AJ28" i="19"/>
  <c r="AM28" i="19"/>
  <c r="AG28" i="19"/>
  <c r="AS28" i="19"/>
  <c r="AP28" i="19"/>
  <c r="AO46" i="19"/>
  <c r="AR46" i="19"/>
  <c r="AI46" i="19"/>
  <c r="AU46" i="19"/>
  <c r="AF46" i="19"/>
  <c r="AL46" i="19"/>
  <c r="AO25" i="19"/>
  <c r="AF25" i="19"/>
  <c r="AR25" i="19"/>
  <c r="AL25" i="19"/>
  <c r="AI25" i="19"/>
  <c r="AU25" i="19"/>
  <c r="AN44" i="19"/>
  <c r="AH44" i="19"/>
  <c r="AK44" i="19"/>
  <c r="AW44" i="19"/>
  <c r="AQ44" i="19"/>
  <c r="AT44" i="19"/>
  <c r="AO45" i="19"/>
  <c r="AL45" i="19"/>
  <c r="AR45" i="19"/>
  <c r="AF45" i="19"/>
  <c r="AU45" i="19"/>
  <c r="AI45" i="19"/>
  <c r="AL30" i="19"/>
  <c r="AO30" i="19"/>
  <c r="AI30" i="19"/>
  <c r="AU30" i="19"/>
  <c r="AR30" i="19"/>
  <c r="AF30" i="19"/>
  <c r="AP47" i="19"/>
  <c r="AG47" i="19"/>
  <c r="AS47" i="19"/>
  <c r="AJ47" i="19"/>
  <c r="AV47" i="19"/>
  <c r="AM47" i="19"/>
  <c r="AO38" i="19"/>
  <c r="AU38" i="19"/>
  <c r="AI38" i="19"/>
  <c r="AR38" i="19"/>
  <c r="AF38" i="19"/>
  <c r="AL38" i="19"/>
  <c r="AG25" i="19"/>
  <c r="AS25" i="19"/>
  <c r="AP25" i="19"/>
  <c r="AM25" i="19"/>
  <c r="AJ25" i="19"/>
  <c r="AV25" i="19"/>
  <c r="AW42" i="19"/>
  <c r="AK42" i="19"/>
  <c r="AN42" i="19"/>
  <c r="AQ42" i="19"/>
  <c r="AH42" i="19"/>
  <c r="AT42" i="19"/>
  <c r="AQ43" i="19"/>
  <c r="AT43" i="19"/>
  <c r="AH43" i="19"/>
  <c r="AN43" i="19"/>
  <c r="AW43" i="19"/>
  <c r="AK43" i="19"/>
  <c r="AI23" i="19"/>
  <c r="AO23" i="19"/>
  <c r="AL23" i="19"/>
  <c r="AF23" i="19"/>
  <c r="AR23" i="19"/>
  <c r="AU23" i="19"/>
  <c r="AP26" i="19"/>
  <c r="AV26" i="19"/>
  <c r="AJ26" i="19"/>
  <c r="AG26" i="19"/>
  <c r="AS26" i="19"/>
  <c r="AM26" i="19"/>
  <c r="AP23" i="19"/>
  <c r="AJ23" i="19"/>
  <c r="AV23" i="19"/>
  <c r="AG23" i="19"/>
  <c r="AS23" i="19"/>
  <c r="AM23" i="19"/>
  <c r="AI39" i="19"/>
  <c r="AU39" i="19"/>
  <c r="AO39" i="19"/>
  <c r="AR39" i="19"/>
  <c r="AL39" i="19"/>
  <c r="AF39" i="19"/>
  <c r="AL31" i="19"/>
  <c r="AF31" i="19"/>
  <c r="AR31" i="19"/>
  <c r="AU31" i="19"/>
  <c r="AI31" i="19"/>
  <c r="AO31" i="19"/>
  <c r="AP37" i="19"/>
  <c r="AG37" i="19"/>
  <c r="AS37" i="19"/>
  <c r="AV37" i="19"/>
  <c r="AJ37" i="19"/>
  <c r="AM37" i="19"/>
  <c r="AP38" i="19"/>
  <c r="AJ38" i="19"/>
  <c r="AS38" i="19"/>
  <c r="AG38" i="19"/>
  <c r="AV38" i="19"/>
  <c r="AM38" i="19"/>
  <c r="AV30" i="19"/>
  <c r="AJ30" i="19"/>
  <c r="AG30" i="19"/>
  <c r="AS30" i="19"/>
  <c r="AP30" i="19"/>
  <c r="AM30" i="19"/>
  <c r="AR41" i="19"/>
  <c r="AF41" i="19"/>
  <c r="AO41" i="19"/>
  <c r="AL41" i="19"/>
  <c r="AU41" i="19"/>
  <c r="AI41" i="19"/>
  <c r="AO26" i="19"/>
  <c r="AU26" i="19"/>
  <c r="AI26" i="19"/>
  <c r="AL26" i="19"/>
  <c r="AF26" i="19"/>
  <c r="AR26" i="19"/>
  <c r="AR40" i="19"/>
  <c r="AF40" i="19"/>
  <c r="AU40" i="19"/>
  <c r="AI40" i="19"/>
  <c r="AL40" i="19"/>
  <c r="AO40" i="19"/>
  <c r="AO34" i="19"/>
  <c r="AI34" i="19"/>
  <c r="AL34" i="19"/>
  <c r="AF34" i="19"/>
  <c r="AU34" i="19"/>
  <c r="AR34" i="19"/>
  <c r="AN31" i="19"/>
  <c r="AW31" i="19"/>
  <c r="AH31" i="19"/>
  <c r="AK31" i="19"/>
  <c r="AQ31" i="19"/>
  <c r="AT31" i="19"/>
  <c r="AQ23" i="19"/>
  <c r="AT23" i="19"/>
  <c r="AN23" i="19"/>
  <c r="AH23" i="19"/>
  <c r="AK23" i="19"/>
  <c r="AW23" i="19"/>
  <c r="AP39" i="19"/>
  <c r="AV39" i="19"/>
  <c r="AJ39" i="19"/>
  <c r="AG39" i="19"/>
  <c r="AS39" i="19"/>
  <c r="AM39" i="19"/>
  <c r="AP27" i="19"/>
  <c r="AV27" i="19"/>
  <c r="AJ27" i="19"/>
  <c r="AM27" i="19"/>
  <c r="AG27" i="19"/>
  <c r="AS27" i="19"/>
  <c r="AS31" i="19"/>
  <c r="AG31" i="19"/>
  <c r="AV31" i="19"/>
  <c r="AP31" i="19"/>
  <c r="AJ31" i="19"/>
  <c r="AM31" i="19"/>
  <c r="AF35" i="19"/>
  <c r="AR35" i="19"/>
  <c r="AI35" i="19"/>
  <c r="AU35" i="19"/>
  <c r="AL35" i="19"/>
  <c r="AO35" i="19"/>
  <c r="AQ39" i="19"/>
  <c r="AT39" i="19"/>
  <c r="AH39" i="19"/>
  <c r="AK39" i="19"/>
  <c r="AW39" i="19"/>
  <c r="AN39" i="19"/>
  <c r="AM91" i="3"/>
  <c r="AQ91" i="3"/>
  <c r="AR91" i="3"/>
  <c r="AF91" i="3"/>
  <c r="AC91" i="3"/>
  <c r="AL91" i="3"/>
  <c r="AK91" i="3"/>
  <c r="AH91" i="3"/>
  <c r="AD91" i="3"/>
  <c r="AA91" i="3"/>
  <c r="AI91" i="3"/>
  <c r="AP91" i="3"/>
  <c r="AN91" i="3"/>
  <c r="AB91" i="3"/>
  <c r="S71" i="3"/>
  <c r="R71" i="3"/>
  <c r="Q71" i="3"/>
  <c r="F33" i="19"/>
  <c r="F34" i="19"/>
  <c r="F35" i="19"/>
  <c r="F36" i="19"/>
  <c r="F37" i="19"/>
  <c r="F38" i="19"/>
  <c r="F32" i="19"/>
  <c r="F31" i="19"/>
  <c r="F30" i="19"/>
  <c r="O19" i="19"/>
  <c r="S19" i="19"/>
  <c r="Q19" i="19"/>
  <c r="P19" i="19"/>
  <c r="AZ34" i="19" l="1"/>
  <c r="AX33" i="19"/>
  <c r="AX32" i="19"/>
  <c r="AX21" i="19"/>
  <c r="AZ25" i="19"/>
  <c r="AY36" i="19"/>
  <c r="AY24" i="19"/>
  <c r="AZ45" i="19"/>
  <c r="AZ21" i="19"/>
  <c r="AX37" i="19"/>
  <c r="AX20" i="19"/>
  <c r="AY20" i="19"/>
  <c r="AY33" i="19"/>
  <c r="AX36" i="19"/>
  <c r="AY45" i="19"/>
  <c r="AZ38" i="19"/>
  <c r="AZ32" i="19"/>
  <c r="AY34" i="19"/>
  <c r="AZ33" i="19"/>
  <c r="AZ37" i="19"/>
  <c r="AY27" i="19"/>
  <c r="AX41" i="19"/>
  <c r="AY32" i="19"/>
  <c r="AZ46" i="19"/>
  <c r="AY48" i="19"/>
  <c r="AX48" i="19"/>
  <c r="AZ48" i="19"/>
  <c r="AZ20" i="19"/>
  <c r="AZ30" i="19"/>
  <c r="AZ26" i="19"/>
  <c r="AX24" i="19"/>
  <c r="AX30" i="19"/>
  <c r="AX45" i="19"/>
  <c r="AZ43" i="19"/>
  <c r="AX44" i="19"/>
  <c r="AX43" i="19"/>
  <c r="AZ41" i="19"/>
  <c r="AZ24" i="19"/>
  <c r="AZ36" i="19"/>
  <c r="AX35" i="19"/>
  <c r="AX40" i="19"/>
  <c r="AY38" i="19"/>
  <c r="AX46" i="19"/>
  <c r="AY21" i="19"/>
  <c r="AX39" i="19"/>
  <c r="AY47" i="19"/>
  <c r="AX42" i="19"/>
  <c r="AY46" i="19"/>
  <c r="AY26" i="19"/>
  <c r="AY25" i="19"/>
  <c r="AY31" i="19"/>
  <c r="AX31" i="19"/>
  <c r="AZ44" i="19"/>
  <c r="AY44" i="19"/>
  <c r="AX47" i="19"/>
  <c r="AZ35" i="19"/>
  <c r="AZ39" i="19"/>
  <c r="AY30" i="19"/>
  <c r="AX26" i="19"/>
  <c r="AY23" i="19"/>
  <c r="AX38" i="19"/>
  <c r="AX28" i="19"/>
  <c r="AY41" i="19"/>
  <c r="AZ31" i="19"/>
  <c r="AY37" i="19"/>
  <c r="AZ23" i="19"/>
  <c r="AX34" i="19"/>
  <c r="AX25" i="19"/>
  <c r="AY40" i="19"/>
  <c r="AX27" i="19"/>
  <c r="AY42" i="19"/>
  <c r="AZ27" i="19"/>
  <c r="AZ42" i="19"/>
  <c r="AX23" i="19"/>
  <c r="AY43" i="19"/>
  <c r="AZ47" i="19"/>
  <c r="AZ40" i="19"/>
  <c r="AY39" i="19"/>
  <c r="AY28" i="19"/>
  <c r="AY35" i="19"/>
  <c r="AZ28" i="19"/>
  <c r="AU91" i="3"/>
  <c r="AT91" i="3"/>
  <c r="AS91" i="3"/>
  <c r="W19" i="19"/>
  <c r="AE19" i="19" s="1"/>
  <c r="U19" i="19"/>
  <c r="T19" i="19"/>
  <c r="V19" i="19"/>
  <c r="AC19" i="19" l="1"/>
  <c r="AB19" i="19"/>
  <c r="AD19" i="19"/>
  <c r="AU19" i="19" l="1"/>
  <c r="AR19" i="19"/>
  <c r="AI19" i="19"/>
  <c r="AF19" i="19"/>
  <c r="AL19" i="19"/>
  <c r="AO19" i="19"/>
  <c r="AG19" i="19"/>
  <c r="AP19" i="19"/>
  <c r="AJ19" i="19"/>
  <c r="AM19" i="19"/>
  <c r="AV19" i="19"/>
  <c r="AS19" i="19"/>
  <c r="AK19" i="19"/>
  <c r="AW19" i="19"/>
  <c r="AQ19" i="19"/>
  <c r="AT19" i="19"/>
  <c r="AH19" i="19"/>
  <c r="AN19" i="19"/>
  <c r="AY19" i="19" l="1"/>
  <c r="AZ19" i="19"/>
  <c r="AX19" i="19"/>
  <c r="U62" i="3"/>
  <c r="U79" i="3"/>
  <c r="U78" i="3"/>
  <c r="U77" i="3"/>
  <c r="U76" i="3"/>
  <c r="U75" i="3"/>
  <c r="U74" i="3"/>
  <c r="U31" i="3"/>
  <c r="U30" i="3"/>
  <c r="U29" i="3"/>
  <c r="U28" i="3"/>
  <c r="U27" i="3"/>
  <c r="U26" i="3"/>
  <c r="U25" i="3"/>
  <c r="U24" i="3"/>
  <c r="U23" i="3"/>
  <c r="U22" i="3"/>
  <c r="U21" i="3"/>
  <c r="U20" i="3"/>
  <c r="U19" i="3"/>
  <c r="U18" i="3"/>
  <c r="U90" i="3"/>
  <c r="U89" i="3"/>
  <c r="U88" i="3"/>
  <c r="U87" i="3"/>
  <c r="U86" i="3"/>
  <c r="U61" i="3"/>
  <c r="U60" i="3"/>
  <c r="U73" i="3"/>
  <c r="U72" i="3"/>
  <c r="U71" i="3"/>
  <c r="U70" i="3"/>
  <c r="U69" i="3"/>
  <c r="U59" i="3"/>
  <c r="U58" i="3"/>
  <c r="U57" i="3"/>
  <c r="U56" i="3"/>
  <c r="U55" i="3"/>
  <c r="U54" i="3"/>
  <c r="U53" i="3"/>
  <c r="U52" i="3"/>
  <c r="U51" i="3"/>
  <c r="U50" i="3"/>
  <c r="U49" i="3"/>
  <c r="U48" i="3"/>
  <c r="U47" i="3"/>
  <c r="U46" i="3"/>
  <c r="U45" i="3"/>
  <c r="U44" i="3"/>
  <c r="U43" i="3"/>
  <c r="U42" i="3"/>
  <c r="U41" i="3"/>
  <c r="U40" i="3"/>
  <c r="U39" i="3"/>
  <c r="U38" i="3"/>
  <c r="U37" i="3"/>
  <c r="U36" i="3"/>
  <c r="U35" i="3"/>
  <c r="U34" i="3"/>
  <c r="U33" i="3"/>
  <c r="U32" i="3"/>
  <c r="U68" i="3"/>
  <c r="U67" i="3"/>
  <c r="U66" i="3"/>
  <c r="U65" i="3"/>
  <c r="U64" i="3"/>
  <c r="U63" i="3"/>
  <c r="U85" i="3"/>
  <c r="U84" i="3"/>
  <c r="U83" i="3"/>
  <c r="U82" i="3"/>
  <c r="U81" i="3"/>
  <c r="U80" i="3"/>
  <c r="N62" i="3"/>
  <c r="P62" i="3"/>
  <c r="O62" i="3"/>
  <c r="E62" i="3"/>
  <c r="N59" i="3"/>
  <c r="P59" i="3"/>
  <c r="O59" i="3"/>
  <c r="E59" i="3"/>
  <c r="E58" i="3"/>
  <c r="E57" i="3"/>
  <c r="N56" i="3"/>
  <c r="E56" i="3"/>
  <c r="N45" i="3"/>
  <c r="E45" i="3"/>
  <c r="N44" i="3"/>
  <c r="E44" i="3"/>
  <c r="N43" i="3"/>
  <c r="E43" i="3"/>
  <c r="N42" i="3"/>
  <c r="E42" i="3"/>
  <c r="N41" i="3"/>
  <c r="E41" i="3"/>
  <c r="N40" i="3"/>
  <c r="E40" i="3"/>
  <c r="N39" i="3"/>
  <c r="E39" i="3"/>
  <c r="N38" i="3"/>
  <c r="E38" i="3"/>
  <c r="N85" i="3"/>
  <c r="P85" i="3"/>
  <c r="O85" i="3"/>
  <c r="E85" i="3"/>
  <c r="N84" i="3"/>
  <c r="P84" i="3"/>
  <c r="O84" i="3"/>
  <c r="E84" i="3"/>
  <c r="N83" i="3"/>
  <c r="P83" i="3"/>
  <c r="O83" i="3"/>
  <c r="E83" i="3"/>
  <c r="N82" i="3"/>
  <c r="P82" i="3"/>
  <c r="O82" i="3"/>
  <c r="E82" i="3"/>
  <c r="E81" i="3"/>
  <c r="L80" i="3"/>
  <c r="E80" i="3"/>
  <c r="N90" i="3"/>
  <c r="P90" i="3"/>
  <c r="O90" i="3"/>
  <c r="E90" i="3"/>
  <c r="N89" i="3"/>
  <c r="P89" i="3"/>
  <c r="O89" i="3"/>
  <c r="E89" i="3"/>
  <c r="E88" i="3"/>
  <c r="L87" i="3"/>
  <c r="E87" i="3"/>
  <c r="N86" i="3"/>
  <c r="P86" i="3"/>
  <c r="O86" i="3"/>
  <c r="E86" i="3"/>
  <c r="N68" i="3"/>
  <c r="P68" i="3"/>
  <c r="O68" i="3"/>
  <c r="E68" i="3"/>
  <c r="N67" i="3"/>
  <c r="P67" i="3"/>
  <c r="O67" i="3"/>
  <c r="E67" i="3"/>
  <c r="N66" i="3"/>
  <c r="P66" i="3"/>
  <c r="O66" i="3"/>
  <c r="E66" i="3"/>
  <c r="N65" i="3"/>
  <c r="P65" i="3"/>
  <c r="O65" i="3"/>
  <c r="E65" i="3"/>
  <c r="N64" i="3"/>
  <c r="P64" i="3"/>
  <c r="O64" i="3"/>
  <c r="E64" i="3"/>
  <c r="N63" i="3"/>
  <c r="P63" i="3"/>
  <c r="O63" i="3"/>
  <c r="E63" i="3"/>
  <c r="N73" i="3"/>
  <c r="P73" i="3"/>
  <c r="O73" i="3"/>
  <c r="E73" i="3"/>
  <c r="N72" i="3"/>
  <c r="P72" i="3"/>
  <c r="O72" i="3"/>
  <c r="E72" i="3"/>
  <c r="N71" i="3"/>
  <c r="P71" i="3"/>
  <c r="O71" i="3"/>
  <c r="E71" i="3"/>
  <c r="N70" i="3"/>
  <c r="P70" i="3"/>
  <c r="O70" i="3"/>
  <c r="E70" i="3"/>
  <c r="N69" i="3"/>
  <c r="P69" i="3"/>
  <c r="O69" i="3"/>
  <c r="E69" i="3"/>
  <c r="L79" i="3"/>
  <c r="N79" i="3" s="1"/>
  <c r="E79" i="3"/>
  <c r="E78" i="3"/>
  <c r="N77" i="3"/>
  <c r="P77" i="3"/>
  <c r="O77" i="3"/>
  <c r="E77" i="3"/>
  <c r="N76" i="3"/>
  <c r="P76" i="3"/>
  <c r="O76" i="3"/>
  <c r="E76" i="3"/>
  <c r="N75" i="3"/>
  <c r="P75" i="3"/>
  <c r="O75" i="3"/>
  <c r="E75" i="3"/>
  <c r="N74" i="3"/>
  <c r="P74" i="3"/>
  <c r="O74" i="3"/>
  <c r="E74" i="3"/>
  <c r="N61" i="3"/>
  <c r="P61" i="3"/>
  <c r="O61" i="3"/>
  <c r="E61" i="3"/>
  <c r="L60" i="3"/>
  <c r="N60" i="3" s="1"/>
  <c r="E60" i="3"/>
  <c r="N55" i="3"/>
  <c r="E55" i="3"/>
  <c r="N54" i="3"/>
  <c r="E54" i="3"/>
  <c r="I53" i="3"/>
  <c r="E53" i="3"/>
  <c r="N52" i="3"/>
  <c r="E52" i="3"/>
  <c r="N51" i="3"/>
  <c r="E51" i="3"/>
  <c r="N50" i="3"/>
  <c r="E50" i="3"/>
  <c r="N49" i="3"/>
  <c r="E49" i="3"/>
  <c r="N48" i="3"/>
  <c r="E48" i="3"/>
  <c r="N47" i="3"/>
  <c r="E47" i="3"/>
  <c r="N46" i="3"/>
  <c r="E46" i="3"/>
  <c r="N37" i="3"/>
  <c r="E37" i="3"/>
  <c r="N36" i="3"/>
  <c r="E36" i="3"/>
  <c r="N35" i="3"/>
  <c r="E35" i="3"/>
  <c r="N34" i="3"/>
  <c r="E34" i="3"/>
  <c r="N33" i="3"/>
  <c r="E33" i="3"/>
  <c r="N32" i="3"/>
  <c r="E32" i="3"/>
  <c r="N24" i="3"/>
  <c r="E24" i="3"/>
  <c r="N23" i="3"/>
  <c r="E23" i="3"/>
  <c r="L22" i="3"/>
  <c r="E22" i="3"/>
  <c r="E21" i="3"/>
  <c r="N20" i="3"/>
  <c r="E20" i="3"/>
  <c r="N19" i="3"/>
  <c r="E19" i="3"/>
  <c r="N18" i="3"/>
  <c r="E18" i="3"/>
  <c r="N31" i="3"/>
  <c r="E31" i="3"/>
  <c r="N30" i="3"/>
  <c r="E30" i="3"/>
  <c r="L29" i="3"/>
  <c r="E29" i="3"/>
  <c r="E28" i="3"/>
  <c r="N27" i="3"/>
  <c r="E27" i="3"/>
  <c r="N26" i="3"/>
  <c r="E26" i="3"/>
  <c r="N25" i="3"/>
  <c r="E25" i="3"/>
  <c r="K53" i="3" l="1"/>
  <c r="J53" i="3"/>
  <c r="W85" i="3"/>
  <c r="X85" i="3"/>
  <c r="Y85" i="3"/>
  <c r="Z85" i="3" s="1"/>
  <c r="V85" i="3"/>
  <c r="W37" i="3"/>
  <c r="X37" i="3"/>
  <c r="Y37" i="3"/>
  <c r="Z37" i="3" s="1"/>
  <c r="V37" i="3"/>
  <c r="W49" i="3"/>
  <c r="X49" i="3"/>
  <c r="Y49" i="3"/>
  <c r="Z49" i="3" s="1"/>
  <c r="V49" i="3"/>
  <c r="V70" i="3"/>
  <c r="W70" i="3"/>
  <c r="X70" i="3"/>
  <c r="Y70" i="3"/>
  <c r="Z70" i="3" s="1"/>
  <c r="Y19" i="3"/>
  <c r="Z19" i="3" s="1"/>
  <c r="X19" i="3"/>
  <c r="V19" i="3"/>
  <c r="W19" i="3"/>
  <c r="Y31" i="3"/>
  <c r="Z31" i="3" s="1"/>
  <c r="V31" i="3"/>
  <c r="X31" i="3"/>
  <c r="W31" i="3"/>
  <c r="X74" i="3"/>
  <c r="V74" i="3"/>
  <c r="W74" i="3"/>
  <c r="Y74" i="3"/>
  <c r="Z74" i="3" s="1"/>
  <c r="Y64" i="3"/>
  <c r="Z64" i="3" s="1"/>
  <c r="V64" i="3"/>
  <c r="W64" i="3"/>
  <c r="X64" i="3"/>
  <c r="V39" i="3"/>
  <c r="X39" i="3"/>
  <c r="W39" i="3"/>
  <c r="Y39" i="3"/>
  <c r="Z39" i="3" s="1"/>
  <c r="V51" i="3"/>
  <c r="Y51" i="3"/>
  <c r="Z51" i="3" s="1"/>
  <c r="W51" i="3"/>
  <c r="X51" i="3"/>
  <c r="W72" i="3"/>
  <c r="Y72" i="3"/>
  <c r="Z72" i="3" s="1"/>
  <c r="X72" i="3"/>
  <c r="V72" i="3"/>
  <c r="V21" i="3"/>
  <c r="W21" i="3"/>
  <c r="Y21" i="3"/>
  <c r="Z21" i="3" s="1"/>
  <c r="X21" i="3"/>
  <c r="X75" i="3"/>
  <c r="V75" i="3"/>
  <c r="Y75" i="3"/>
  <c r="Z75" i="3" s="1"/>
  <c r="W75" i="3"/>
  <c r="V20" i="3"/>
  <c r="Y20" i="3"/>
  <c r="Z20" i="3" s="1"/>
  <c r="W20" i="3"/>
  <c r="X20" i="3"/>
  <c r="Y65" i="3"/>
  <c r="Z65" i="3" s="1"/>
  <c r="W65" i="3"/>
  <c r="V65" i="3"/>
  <c r="X65" i="3"/>
  <c r="Y40" i="3"/>
  <c r="Z40" i="3" s="1"/>
  <c r="V40" i="3"/>
  <c r="W40" i="3"/>
  <c r="X40" i="3"/>
  <c r="Y52" i="3"/>
  <c r="Z52" i="3" s="1"/>
  <c r="V52" i="3"/>
  <c r="W52" i="3"/>
  <c r="X52" i="3"/>
  <c r="W73" i="3"/>
  <c r="X73" i="3"/>
  <c r="Y73" i="3"/>
  <c r="Z73" i="3" s="1"/>
  <c r="V73" i="3"/>
  <c r="V22" i="3"/>
  <c r="W22" i="3"/>
  <c r="X22" i="3"/>
  <c r="Y22" i="3"/>
  <c r="Z22" i="3" s="1"/>
  <c r="Y76" i="3"/>
  <c r="Z76" i="3" s="1"/>
  <c r="V76" i="3"/>
  <c r="W76" i="3"/>
  <c r="X76" i="3"/>
  <c r="X50" i="3"/>
  <c r="V50" i="3"/>
  <c r="W50" i="3"/>
  <c r="Y50" i="3"/>
  <c r="Z50" i="3" s="1"/>
  <c r="Y66" i="3"/>
  <c r="Z66" i="3" s="1"/>
  <c r="V66" i="3"/>
  <c r="W66" i="3"/>
  <c r="X66" i="3"/>
  <c r="Y41" i="3"/>
  <c r="Z41" i="3" s="1"/>
  <c r="W41" i="3"/>
  <c r="V41" i="3"/>
  <c r="X41" i="3"/>
  <c r="Y53" i="3"/>
  <c r="Z53" i="3" s="1"/>
  <c r="V53" i="3"/>
  <c r="X53" i="3"/>
  <c r="W53" i="3"/>
  <c r="W60" i="3"/>
  <c r="X60" i="3"/>
  <c r="Y60" i="3"/>
  <c r="Z60" i="3" s="1"/>
  <c r="V60" i="3"/>
  <c r="V23" i="3"/>
  <c r="W23" i="3"/>
  <c r="X23" i="3"/>
  <c r="Y23" i="3"/>
  <c r="Z23" i="3" s="1"/>
  <c r="Y77" i="3"/>
  <c r="Z77" i="3" s="1"/>
  <c r="V77" i="3"/>
  <c r="W77" i="3"/>
  <c r="X77" i="3"/>
  <c r="V63" i="3"/>
  <c r="X63" i="3"/>
  <c r="W63" i="3"/>
  <c r="Y63" i="3"/>
  <c r="Z63" i="3" s="1"/>
  <c r="Y67" i="3"/>
  <c r="Z67" i="3" s="1"/>
  <c r="V67" i="3"/>
  <c r="X67" i="3"/>
  <c r="W67" i="3"/>
  <c r="Y42" i="3"/>
  <c r="Z42" i="3" s="1"/>
  <c r="W42" i="3"/>
  <c r="X42" i="3"/>
  <c r="V42" i="3"/>
  <c r="W54" i="3"/>
  <c r="Y54" i="3"/>
  <c r="Z54" i="3" s="1"/>
  <c r="V54" i="3"/>
  <c r="X54" i="3"/>
  <c r="W61" i="3"/>
  <c r="X61" i="3"/>
  <c r="Y61" i="3"/>
  <c r="Z61" i="3" s="1"/>
  <c r="V61" i="3"/>
  <c r="W24" i="3"/>
  <c r="X24" i="3"/>
  <c r="Y24" i="3"/>
  <c r="Z24" i="3" s="1"/>
  <c r="V24" i="3"/>
  <c r="Y78" i="3"/>
  <c r="Z78" i="3" s="1"/>
  <c r="V78" i="3"/>
  <c r="W78" i="3"/>
  <c r="X78" i="3"/>
  <c r="V68" i="3"/>
  <c r="Y68" i="3"/>
  <c r="Z68" i="3" s="1"/>
  <c r="W68" i="3"/>
  <c r="X68" i="3"/>
  <c r="X43" i="3"/>
  <c r="Y43" i="3"/>
  <c r="Z43" i="3" s="1"/>
  <c r="V43" i="3"/>
  <c r="W43" i="3"/>
  <c r="Y55" i="3"/>
  <c r="Z55" i="3" s="1"/>
  <c r="V55" i="3"/>
  <c r="W55" i="3"/>
  <c r="X55" i="3"/>
  <c r="X86" i="3"/>
  <c r="V86" i="3"/>
  <c r="Y86" i="3"/>
  <c r="Z86" i="3" s="1"/>
  <c r="W86" i="3"/>
  <c r="W25" i="3"/>
  <c r="X25" i="3"/>
  <c r="Y25" i="3"/>
  <c r="Z25" i="3" s="1"/>
  <c r="V25" i="3"/>
  <c r="X79" i="3"/>
  <c r="Y79" i="3"/>
  <c r="Z79" i="3" s="1"/>
  <c r="V79" i="3"/>
  <c r="W79" i="3"/>
  <c r="V71" i="3"/>
  <c r="Y71" i="3"/>
  <c r="Z71" i="3" s="1"/>
  <c r="W71" i="3"/>
  <c r="AJ71" i="3"/>
  <c r="AF71" i="3"/>
  <c r="AA71" i="3"/>
  <c r="AG71" i="3"/>
  <c r="AL71" i="3"/>
  <c r="AI71" i="3"/>
  <c r="AM71" i="3"/>
  <c r="AR71" i="3"/>
  <c r="AP71" i="3"/>
  <c r="AC71" i="3"/>
  <c r="AN71" i="3"/>
  <c r="AE71" i="3"/>
  <c r="AK71" i="3"/>
  <c r="AB71" i="3"/>
  <c r="AO71" i="3"/>
  <c r="AH71" i="3"/>
  <c r="AQ71" i="3"/>
  <c r="AD71" i="3"/>
  <c r="X80" i="3"/>
  <c r="V80" i="3"/>
  <c r="Y80" i="3"/>
  <c r="Z80" i="3" s="1"/>
  <c r="W80" i="3"/>
  <c r="V32" i="3"/>
  <c r="Y32" i="3"/>
  <c r="Z32" i="3" s="1"/>
  <c r="W32" i="3"/>
  <c r="X32" i="3"/>
  <c r="V44" i="3"/>
  <c r="Y44" i="3"/>
  <c r="Z44" i="3" s="1"/>
  <c r="W44" i="3"/>
  <c r="X44" i="3"/>
  <c r="V56" i="3"/>
  <c r="Y56" i="3"/>
  <c r="Z56" i="3" s="1"/>
  <c r="W56" i="3"/>
  <c r="X56" i="3"/>
  <c r="X87" i="3"/>
  <c r="V87" i="3"/>
  <c r="W87" i="3"/>
  <c r="Y87" i="3"/>
  <c r="Z87" i="3" s="1"/>
  <c r="X26" i="3"/>
  <c r="V26" i="3"/>
  <c r="Y26" i="3"/>
  <c r="Z26" i="3" s="1"/>
  <c r="W26" i="3"/>
  <c r="X62" i="3"/>
  <c r="V62" i="3"/>
  <c r="Y62" i="3"/>
  <c r="Z62" i="3" s="1"/>
  <c r="W62" i="3"/>
  <c r="V81" i="3"/>
  <c r="W81" i="3"/>
  <c r="Y81" i="3"/>
  <c r="Z81" i="3" s="1"/>
  <c r="X81" i="3"/>
  <c r="V33" i="3"/>
  <c r="W33" i="3"/>
  <c r="Y33" i="3"/>
  <c r="Z33" i="3" s="1"/>
  <c r="X33" i="3"/>
  <c r="V45" i="3"/>
  <c r="W45" i="3"/>
  <c r="Y45" i="3"/>
  <c r="Z45" i="3" s="1"/>
  <c r="X45" i="3"/>
  <c r="V57" i="3"/>
  <c r="W57" i="3"/>
  <c r="Y57" i="3"/>
  <c r="Z57" i="3" s="1"/>
  <c r="X57" i="3"/>
  <c r="Y88" i="3"/>
  <c r="Z88" i="3" s="1"/>
  <c r="V88" i="3"/>
  <c r="W88" i="3"/>
  <c r="X88" i="3"/>
  <c r="V27" i="3"/>
  <c r="Y27" i="3"/>
  <c r="Z27" i="3" s="1"/>
  <c r="W27" i="3"/>
  <c r="X27" i="3"/>
  <c r="V82" i="3"/>
  <c r="W82" i="3"/>
  <c r="X82" i="3"/>
  <c r="Y82" i="3"/>
  <c r="Z82" i="3" s="1"/>
  <c r="V34" i="3"/>
  <c r="W34" i="3"/>
  <c r="X34" i="3"/>
  <c r="Y34" i="3"/>
  <c r="Z34" i="3" s="1"/>
  <c r="V46" i="3"/>
  <c r="W46" i="3"/>
  <c r="X46" i="3"/>
  <c r="Y46" i="3"/>
  <c r="Z46" i="3" s="1"/>
  <c r="V58" i="3"/>
  <c r="W58" i="3"/>
  <c r="X58" i="3"/>
  <c r="Y58" i="3"/>
  <c r="Z58" i="3" s="1"/>
  <c r="Y89" i="3"/>
  <c r="Z89" i="3" s="1"/>
  <c r="W89" i="3"/>
  <c r="V89" i="3"/>
  <c r="X89" i="3"/>
  <c r="Y28" i="3"/>
  <c r="Z28" i="3" s="1"/>
  <c r="V28" i="3"/>
  <c r="W28" i="3"/>
  <c r="X28" i="3"/>
  <c r="V83" i="3"/>
  <c r="W83" i="3"/>
  <c r="X83" i="3"/>
  <c r="Y83" i="3"/>
  <c r="Z83" i="3" s="1"/>
  <c r="V35" i="3"/>
  <c r="W35" i="3"/>
  <c r="X35" i="3"/>
  <c r="Y35" i="3"/>
  <c r="Z35" i="3" s="1"/>
  <c r="V47" i="3"/>
  <c r="W47" i="3"/>
  <c r="Y47" i="3"/>
  <c r="Z47" i="3" s="1"/>
  <c r="X47" i="3"/>
  <c r="V59" i="3"/>
  <c r="W59" i="3"/>
  <c r="X59" i="3"/>
  <c r="Y59" i="3"/>
  <c r="Z59" i="3" s="1"/>
  <c r="Y90" i="3"/>
  <c r="Z90" i="3" s="1"/>
  <c r="W90" i="3"/>
  <c r="V90" i="3"/>
  <c r="X90" i="3"/>
  <c r="Y29" i="3"/>
  <c r="Z29" i="3" s="1"/>
  <c r="W29" i="3"/>
  <c r="V29" i="3"/>
  <c r="X29" i="3"/>
  <c r="X38" i="3"/>
  <c r="V38" i="3"/>
  <c r="W38" i="3"/>
  <c r="Y38" i="3"/>
  <c r="Z38" i="3" s="1"/>
  <c r="W84" i="3"/>
  <c r="X84" i="3"/>
  <c r="V84" i="3"/>
  <c r="Y84" i="3"/>
  <c r="Z84" i="3" s="1"/>
  <c r="W36" i="3"/>
  <c r="X36" i="3"/>
  <c r="Y36" i="3"/>
  <c r="Z36" i="3" s="1"/>
  <c r="V36" i="3"/>
  <c r="W48" i="3"/>
  <c r="X48" i="3"/>
  <c r="Y48" i="3"/>
  <c r="Z48" i="3" s="1"/>
  <c r="V48" i="3"/>
  <c r="V69" i="3"/>
  <c r="W69" i="3"/>
  <c r="Y69" i="3"/>
  <c r="Z69" i="3" s="1"/>
  <c r="X69" i="3"/>
  <c r="X18" i="3"/>
  <c r="Y18" i="3"/>
  <c r="Z18" i="3" s="1"/>
  <c r="V18" i="3"/>
  <c r="W18" i="3"/>
  <c r="Y30" i="3"/>
  <c r="Z30" i="3" s="1"/>
  <c r="W30" i="3"/>
  <c r="V30" i="3"/>
  <c r="X30" i="3"/>
  <c r="O23" i="3"/>
  <c r="P30" i="3"/>
  <c r="P18" i="3"/>
  <c r="P20" i="3"/>
  <c r="N22" i="3"/>
  <c r="P54" i="3"/>
  <c r="O34" i="3"/>
  <c r="P26" i="3"/>
  <c r="P45" i="3"/>
  <c r="O36" i="3"/>
  <c r="P41" i="3"/>
  <c r="O52" i="3"/>
  <c r="O19" i="3"/>
  <c r="O27" i="3"/>
  <c r="P23" i="3"/>
  <c r="P32" i="3"/>
  <c r="P34" i="3"/>
  <c r="P36" i="3"/>
  <c r="P46" i="3"/>
  <c r="P48" i="3"/>
  <c r="P50" i="3"/>
  <c r="P52" i="3"/>
  <c r="O55" i="3"/>
  <c r="O38" i="3"/>
  <c r="O40" i="3"/>
  <c r="O42" i="3"/>
  <c r="O44" i="3"/>
  <c r="O56" i="3"/>
  <c r="O48" i="3"/>
  <c r="P31" i="3"/>
  <c r="O32" i="3"/>
  <c r="O50" i="3"/>
  <c r="P19" i="3"/>
  <c r="P25" i="3"/>
  <c r="P27" i="3"/>
  <c r="N29" i="3"/>
  <c r="P55" i="3"/>
  <c r="P38" i="3"/>
  <c r="P40" i="3"/>
  <c r="P42" i="3"/>
  <c r="P44" i="3"/>
  <c r="P56" i="3"/>
  <c r="O31" i="3"/>
  <c r="P43" i="3"/>
  <c r="O24" i="3"/>
  <c r="O33" i="3"/>
  <c r="O35" i="3"/>
  <c r="O37" i="3"/>
  <c r="O47" i="3"/>
  <c r="O49" i="3"/>
  <c r="O51" i="3"/>
  <c r="P39" i="3"/>
  <c r="O46" i="3"/>
  <c r="O30" i="3"/>
  <c r="O18" i="3"/>
  <c r="O20" i="3"/>
  <c r="O25" i="3"/>
  <c r="O26" i="3"/>
  <c r="P24" i="3"/>
  <c r="P33" i="3"/>
  <c r="P35" i="3"/>
  <c r="P37" i="3"/>
  <c r="P47" i="3"/>
  <c r="P49" i="3"/>
  <c r="P51" i="3"/>
  <c r="O54" i="3"/>
  <c r="O39" i="3"/>
  <c r="O41" i="3"/>
  <c r="O43" i="3"/>
  <c r="O45" i="3"/>
  <c r="P60" i="3"/>
  <c r="O80" i="3"/>
  <c r="P80" i="3"/>
  <c r="P22" i="3"/>
  <c r="P57" i="3"/>
  <c r="O29" i="3"/>
  <c r="P29" i="3"/>
  <c r="O22" i="3"/>
  <c r="P87" i="3"/>
  <c r="L78" i="3"/>
  <c r="N78" i="3" s="1"/>
  <c r="O79" i="3"/>
  <c r="P79" i="3"/>
  <c r="O57" i="3"/>
  <c r="O87" i="3"/>
  <c r="O60" i="3"/>
  <c r="N53" i="3"/>
  <c r="L88" i="3"/>
  <c r="N88" i="3" s="1"/>
  <c r="N87" i="3"/>
  <c r="L81" i="3"/>
  <c r="N81" i="3" s="1"/>
  <c r="N80" i="3"/>
  <c r="L58" i="3"/>
  <c r="N58" i="3" s="1"/>
  <c r="N57" i="3"/>
  <c r="Q76" i="3" l="1"/>
  <c r="R26" i="3"/>
  <c r="R50" i="3"/>
  <c r="R38" i="3"/>
  <c r="S55" i="3"/>
  <c r="Q55" i="3"/>
  <c r="R55" i="3"/>
  <c r="Q44" i="3"/>
  <c r="R44" i="3"/>
  <c r="S44" i="3"/>
  <c r="R24" i="3"/>
  <c r="S24" i="3"/>
  <c r="Q24" i="3"/>
  <c r="R77" i="3"/>
  <c r="Q77" i="3"/>
  <c r="S77" i="3"/>
  <c r="R89" i="3"/>
  <c r="Q89" i="3"/>
  <c r="S89" i="3"/>
  <c r="S38" i="3"/>
  <c r="Q38" i="3"/>
  <c r="Q88" i="3"/>
  <c r="S26" i="3"/>
  <c r="Q26" i="3"/>
  <c r="Q53" i="3"/>
  <c r="S30" i="3"/>
  <c r="Q30" i="3"/>
  <c r="R30" i="3"/>
  <c r="S46" i="3"/>
  <c r="R46" i="3"/>
  <c r="Q46" i="3"/>
  <c r="Q60" i="3"/>
  <c r="S60" i="3"/>
  <c r="R60" i="3"/>
  <c r="S80" i="3"/>
  <c r="Q80" i="3"/>
  <c r="R80" i="3"/>
  <c r="S76" i="3"/>
  <c r="Q57" i="3"/>
  <c r="S57" i="3"/>
  <c r="R57" i="3"/>
  <c r="S49" i="3"/>
  <c r="R49" i="3"/>
  <c r="Q49" i="3"/>
  <c r="Q82" i="3"/>
  <c r="S82" i="3"/>
  <c r="R82" i="3"/>
  <c r="S41" i="3"/>
  <c r="Q41" i="3"/>
  <c r="R41" i="3"/>
  <c r="Q70" i="3"/>
  <c r="S70" i="3"/>
  <c r="R70" i="3"/>
  <c r="Q31" i="3"/>
  <c r="S31" i="3"/>
  <c r="R31" i="3"/>
  <c r="R29" i="3"/>
  <c r="S29" i="3"/>
  <c r="Q29" i="3"/>
  <c r="Q22" i="3"/>
  <c r="S22" i="3"/>
  <c r="R22" i="3"/>
  <c r="S33" i="3"/>
  <c r="R33" i="3"/>
  <c r="Q33" i="3"/>
  <c r="S69" i="3"/>
  <c r="R69" i="3"/>
  <c r="S63" i="3"/>
  <c r="R63" i="3"/>
  <c r="Q63" i="3"/>
  <c r="R76" i="3"/>
  <c r="S48" i="3"/>
  <c r="Q48" i="3"/>
  <c r="R48" i="3"/>
  <c r="R51" i="3"/>
  <c r="S51" i="3"/>
  <c r="Q51" i="3"/>
  <c r="S67" i="3"/>
  <c r="Q67" i="3"/>
  <c r="R67" i="3"/>
  <c r="R27" i="3"/>
  <c r="Q27" i="3"/>
  <c r="S27" i="3"/>
  <c r="Q45" i="3"/>
  <c r="R45" i="3"/>
  <c r="S45" i="3"/>
  <c r="S79" i="3"/>
  <c r="Q79" i="3"/>
  <c r="R79" i="3"/>
  <c r="S23" i="3"/>
  <c r="R23" i="3"/>
  <c r="Q23" i="3"/>
  <c r="Q72" i="3"/>
  <c r="S72" i="3"/>
  <c r="R72" i="3"/>
  <c r="Q32" i="3"/>
  <c r="R32" i="3"/>
  <c r="S32" i="3"/>
  <c r="R66" i="3"/>
  <c r="Q66" i="3"/>
  <c r="S66" i="3"/>
  <c r="S75" i="3"/>
  <c r="R75" i="3"/>
  <c r="Q75" i="3"/>
  <c r="Q34" i="3"/>
  <c r="S34" i="3"/>
  <c r="R34" i="3"/>
  <c r="S68" i="3"/>
  <c r="Q68" i="3"/>
  <c r="R68" i="3"/>
  <c r="S20" i="3"/>
  <c r="R20" i="3"/>
  <c r="Q20" i="3"/>
  <c r="S85" i="3"/>
  <c r="R85" i="3"/>
  <c r="Q85" i="3"/>
  <c r="S86" i="3"/>
  <c r="R86" i="3"/>
  <c r="Q86" i="3"/>
  <c r="S73" i="3"/>
  <c r="R73" i="3"/>
  <c r="Q73" i="3"/>
  <c r="S35" i="3"/>
  <c r="R35" i="3"/>
  <c r="Q35" i="3"/>
  <c r="R65" i="3"/>
  <c r="Q65" i="3"/>
  <c r="S65" i="3"/>
  <c r="Q84" i="3"/>
  <c r="S84" i="3"/>
  <c r="R84" i="3"/>
  <c r="S54" i="3"/>
  <c r="Q54" i="3"/>
  <c r="R54" i="3"/>
  <c r="R39" i="3"/>
  <c r="Q39" i="3"/>
  <c r="S39" i="3"/>
  <c r="S59" i="3"/>
  <c r="R59" i="3"/>
  <c r="Q59" i="3"/>
  <c r="Q62" i="3"/>
  <c r="S62" i="3"/>
  <c r="Q58" i="3"/>
  <c r="S87" i="3"/>
  <c r="R87" i="3"/>
  <c r="Q87" i="3"/>
  <c r="R90" i="3"/>
  <c r="S90" i="3"/>
  <c r="Q90" i="3"/>
  <c r="S36" i="3"/>
  <c r="R36" i="3"/>
  <c r="Q36" i="3"/>
  <c r="S50" i="3"/>
  <c r="Q50" i="3"/>
  <c r="R52" i="3"/>
  <c r="Q52" i="3"/>
  <c r="S52" i="3"/>
  <c r="S43" i="3"/>
  <c r="Q43" i="3"/>
  <c r="R43" i="3"/>
  <c r="S61" i="3"/>
  <c r="R61" i="3"/>
  <c r="Q61" i="3"/>
  <c r="Q19" i="3"/>
  <c r="R19" i="3"/>
  <c r="S19" i="3"/>
  <c r="Q18" i="3"/>
  <c r="R18" i="3"/>
  <c r="S18" i="3"/>
  <c r="S64" i="3"/>
  <c r="R64" i="3"/>
  <c r="Q64" i="3"/>
  <c r="Q83" i="3"/>
  <c r="R83" i="3"/>
  <c r="S83" i="3"/>
  <c r="Q81" i="3"/>
  <c r="S42" i="3"/>
  <c r="Q42" i="3"/>
  <c r="R42" i="3"/>
  <c r="R40" i="3"/>
  <c r="Q40" i="3"/>
  <c r="S40" i="3"/>
  <c r="Q78" i="3"/>
  <c r="S56" i="3"/>
  <c r="Q56" i="3"/>
  <c r="R56" i="3"/>
  <c r="Q47" i="3"/>
  <c r="S47" i="3"/>
  <c r="R47" i="3"/>
  <c r="S74" i="3"/>
  <c r="R74" i="3"/>
  <c r="Q74" i="3"/>
  <c r="R25" i="3"/>
  <c r="Q25" i="3"/>
  <c r="S25" i="3"/>
  <c r="R37" i="3"/>
  <c r="S37" i="3"/>
  <c r="Q37" i="3"/>
  <c r="R62" i="3"/>
  <c r="Q69" i="3"/>
  <c r="P53" i="3"/>
  <c r="S53" i="3" s="1"/>
  <c r="N21" i="3"/>
  <c r="Q21" i="3" s="1"/>
  <c r="O53" i="3"/>
  <c r="R53" i="3" s="1"/>
  <c r="N28" i="3"/>
  <c r="Q28" i="3" s="1"/>
  <c r="O28" i="3"/>
  <c r="R28" i="3" s="1"/>
  <c r="O78" i="3"/>
  <c r="R78" i="3" s="1"/>
  <c r="P78" i="3"/>
  <c r="S78" i="3" s="1"/>
  <c r="P28" i="3"/>
  <c r="S28" i="3" s="1"/>
  <c r="P21" i="3"/>
  <c r="S21" i="3" s="1"/>
  <c r="O21" i="3"/>
  <c r="R21" i="3" s="1"/>
  <c r="O88" i="3"/>
  <c r="R88" i="3" s="1"/>
  <c r="P88" i="3"/>
  <c r="S88" i="3" s="1"/>
  <c r="P81" i="3"/>
  <c r="S81" i="3" s="1"/>
  <c r="O81" i="3"/>
  <c r="R81" i="3" s="1"/>
  <c r="O58" i="3"/>
  <c r="R58" i="3" s="1"/>
  <c r="P58" i="3"/>
  <c r="S58" i="3" s="1"/>
  <c r="AD18" i="3" l="1"/>
  <c r="AG18" i="3"/>
  <c r="AJ18" i="3"/>
  <c r="AP18" i="3"/>
  <c r="AM18" i="3"/>
  <c r="AA18" i="3"/>
  <c r="AB18" i="3"/>
  <c r="AN18" i="3"/>
  <c r="AQ18" i="3"/>
  <c r="AE18" i="3"/>
  <c r="AH18" i="3"/>
  <c r="AK18" i="3"/>
  <c r="AC18" i="3"/>
  <c r="AF18" i="3"/>
  <c r="AR18" i="3"/>
  <c r="AI18" i="3"/>
  <c r="AO18" i="3"/>
  <c r="AL18" i="3"/>
  <c r="AM28" i="3"/>
  <c r="AJ28" i="3"/>
  <c r="AD28" i="3"/>
  <c r="AG28" i="3"/>
  <c r="AP28" i="3"/>
  <c r="AA28" i="3"/>
  <c r="AK74" i="3"/>
  <c r="AN74" i="3"/>
  <c r="AE74" i="3"/>
  <c r="AQ74" i="3"/>
  <c r="AH74" i="3"/>
  <c r="AB74" i="3"/>
  <c r="AE20" i="3"/>
  <c r="AH20" i="3"/>
  <c r="AN20" i="3"/>
  <c r="AK20" i="3"/>
  <c r="AQ20" i="3"/>
  <c r="AB20" i="3"/>
  <c r="AO31" i="3"/>
  <c r="AF31" i="3"/>
  <c r="AL31" i="3"/>
  <c r="AI31" i="3"/>
  <c r="AR31" i="3"/>
  <c r="AC31" i="3"/>
  <c r="AJ89" i="3"/>
  <c r="AM89" i="3"/>
  <c r="AG89" i="3"/>
  <c r="AD89" i="3"/>
  <c r="AP89" i="3"/>
  <c r="AA89" i="3"/>
  <c r="AK78" i="3"/>
  <c r="AH78" i="3"/>
  <c r="AN78" i="3"/>
  <c r="AE78" i="3"/>
  <c r="AQ78" i="3"/>
  <c r="AB78" i="3"/>
  <c r="AG81" i="3"/>
  <c r="AM81" i="3"/>
  <c r="AJ81" i="3"/>
  <c r="AD81" i="3"/>
  <c r="AP81" i="3"/>
  <c r="AA81" i="3"/>
  <c r="AF58" i="3"/>
  <c r="AO58" i="3"/>
  <c r="AI58" i="3"/>
  <c r="AR58" i="3"/>
  <c r="AL58" i="3"/>
  <c r="AC58" i="3"/>
  <c r="AN37" i="3"/>
  <c r="AE37" i="3"/>
  <c r="AK37" i="3"/>
  <c r="AQ37" i="3"/>
  <c r="AH37" i="3"/>
  <c r="AB37" i="3"/>
  <c r="AM40" i="3"/>
  <c r="AD40" i="3"/>
  <c r="AJ40" i="3"/>
  <c r="AG40" i="3"/>
  <c r="AP40" i="3"/>
  <c r="AA40" i="3"/>
  <c r="AD83" i="3"/>
  <c r="AJ83" i="3"/>
  <c r="AG83" i="3"/>
  <c r="AM83" i="3"/>
  <c r="AP83" i="3"/>
  <c r="AA83" i="3"/>
  <c r="AO19" i="3"/>
  <c r="AF19" i="3"/>
  <c r="AL19" i="3"/>
  <c r="AI19" i="3"/>
  <c r="AR19" i="3"/>
  <c r="AC19" i="3"/>
  <c r="AM43" i="3"/>
  <c r="AD43" i="3"/>
  <c r="AG43" i="3"/>
  <c r="AP43" i="3"/>
  <c r="AJ43" i="3"/>
  <c r="AA43" i="3"/>
  <c r="AM36" i="3"/>
  <c r="AD36" i="3"/>
  <c r="AP36" i="3"/>
  <c r="AJ36" i="3"/>
  <c r="AG36" i="3"/>
  <c r="AA36" i="3"/>
  <c r="AK84" i="3"/>
  <c r="AN84" i="3"/>
  <c r="AE84" i="3"/>
  <c r="AH84" i="3"/>
  <c r="AQ84" i="3"/>
  <c r="AB84" i="3"/>
  <c r="AO35" i="3"/>
  <c r="AF35" i="3"/>
  <c r="AR35" i="3"/>
  <c r="AI35" i="3"/>
  <c r="AC35" i="3"/>
  <c r="AL35" i="3"/>
  <c r="AM85" i="3"/>
  <c r="AD85" i="3"/>
  <c r="AJ85" i="3"/>
  <c r="AG85" i="3"/>
  <c r="AP85" i="3"/>
  <c r="AA85" i="3"/>
  <c r="AM68" i="3"/>
  <c r="AD68" i="3"/>
  <c r="AJ68" i="3"/>
  <c r="AG68" i="3"/>
  <c r="AA68" i="3"/>
  <c r="AP68" i="3"/>
  <c r="AF75" i="3"/>
  <c r="AL75" i="3"/>
  <c r="AO75" i="3"/>
  <c r="AC75" i="3"/>
  <c r="AI75" i="3"/>
  <c r="AR75" i="3"/>
  <c r="AK72" i="3"/>
  <c r="AN72" i="3"/>
  <c r="AE72" i="3"/>
  <c r="AH72" i="3"/>
  <c r="AQ72" i="3"/>
  <c r="AB72" i="3"/>
  <c r="AN67" i="3"/>
  <c r="AE67" i="3"/>
  <c r="AH67" i="3"/>
  <c r="AQ67" i="3"/>
  <c r="AK67" i="3"/>
  <c r="AB67" i="3"/>
  <c r="AM48" i="3"/>
  <c r="AD48" i="3"/>
  <c r="AP48" i="3"/>
  <c r="AJ48" i="3"/>
  <c r="AG48" i="3"/>
  <c r="AA48" i="3"/>
  <c r="AO69" i="3"/>
  <c r="AF69" i="3"/>
  <c r="AR69" i="3"/>
  <c r="AC69" i="3"/>
  <c r="AL69" i="3"/>
  <c r="AI69" i="3"/>
  <c r="AM29" i="3"/>
  <c r="AD29" i="3"/>
  <c r="AP29" i="3"/>
  <c r="AJ29" i="3"/>
  <c r="AG29" i="3"/>
  <c r="AA29" i="3"/>
  <c r="AM49" i="3"/>
  <c r="AD49" i="3"/>
  <c r="AG49" i="3"/>
  <c r="AJ49" i="3"/>
  <c r="AP49" i="3"/>
  <c r="AA49" i="3"/>
  <c r="AE80" i="3"/>
  <c r="AK80" i="3"/>
  <c r="AH80" i="3"/>
  <c r="AN80" i="3"/>
  <c r="AQ80" i="3"/>
  <c r="AB80" i="3"/>
  <c r="AF46" i="3"/>
  <c r="AI46" i="3"/>
  <c r="AO46" i="3"/>
  <c r="AR46" i="3"/>
  <c r="AL46" i="3"/>
  <c r="AC46" i="3"/>
  <c r="AG88" i="3"/>
  <c r="AM88" i="3"/>
  <c r="AJ88" i="3"/>
  <c r="AD88" i="3"/>
  <c r="AP88" i="3"/>
  <c r="AA88" i="3"/>
  <c r="AE44" i="3"/>
  <c r="AH44" i="3"/>
  <c r="AN44" i="3"/>
  <c r="AK44" i="3"/>
  <c r="AQ44" i="3"/>
  <c r="AB44" i="3"/>
  <c r="AK85" i="3"/>
  <c r="AH85" i="3"/>
  <c r="AN85" i="3"/>
  <c r="AE85" i="3"/>
  <c r="AQ85" i="3"/>
  <c r="AB85" i="3"/>
  <c r="AL79" i="3"/>
  <c r="AO79" i="3"/>
  <c r="AF79" i="3"/>
  <c r="AI79" i="3"/>
  <c r="AC79" i="3"/>
  <c r="AR79" i="3"/>
  <c r="AD47" i="3"/>
  <c r="AM47" i="3"/>
  <c r="AJ47" i="3"/>
  <c r="AP47" i="3"/>
  <c r="AG47" i="3"/>
  <c r="AA47" i="3"/>
  <c r="AO43" i="3"/>
  <c r="AF43" i="3"/>
  <c r="AL43" i="3"/>
  <c r="AI43" i="3"/>
  <c r="AR43" i="3"/>
  <c r="AC43" i="3"/>
  <c r="AN58" i="3"/>
  <c r="AE58" i="3"/>
  <c r="AH58" i="3"/>
  <c r="AK58" i="3"/>
  <c r="AQ58" i="3"/>
  <c r="AB58" i="3"/>
  <c r="AO21" i="3"/>
  <c r="AF21" i="3"/>
  <c r="AI21" i="3"/>
  <c r="AR21" i="3"/>
  <c r="AL21" i="3"/>
  <c r="AC21" i="3"/>
  <c r="AM21" i="3"/>
  <c r="AD21" i="3"/>
  <c r="AG21" i="3"/>
  <c r="AP21" i="3"/>
  <c r="AJ21" i="3"/>
  <c r="AA21" i="3"/>
  <c r="AM58" i="3"/>
  <c r="AD58" i="3"/>
  <c r="AP58" i="3"/>
  <c r="AJ58" i="3"/>
  <c r="AG58" i="3"/>
  <c r="AA58" i="3"/>
  <c r="AJ84" i="3"/>
  <c r="AM84" i="3"/>
  <c r="AD84" i="3"/>
  <c r="AG84" i="3"/>
  <c r="AP84" i="3"/>
  <c r="AA84" i="3"/>
  <c r="AK73" i="3"/>
  <c r="AH73" i="3"/>
  <c r="AN73" i="3"/>
  <c r="AQ73" i="3"/>
  <c r="AE73" i="3"/>
  <c r="AB73" i="3"/>
  <c r="AL85" i="3"/>
  <c r="AI85" i="3"/>
  <c r="AO85" i="3"/>
  <c r="AF85" i="3"/>
  <c r="AC85" i="3"/>
  <c r="AR85" i="3"/>
  <c r="AN34" i="3"/>
  <c r="AE34" i="3"/>
  <c r="AH34" i="3"/>
  <c r="AK34" i="3"/>
  <c r="AQ34" i="3"/>
  <c r="AB34" i="3"/>
  <c r="AO66" i="3"/>
  <c r="AF66" i="3"/>
  <c r="AL66" i="3"/>
  <c r="AI66" i="3"/>
  <c r="AR66" i="3"/>
  <c r="AC66" i="3"/>
  <c r="AJ72" i="3"/>
  <c r="AM72" i="3"/>
  <c r="AD72" i="3"/>
  <c r="AG72" i="3"/>
  <c r="AP72" i="3"/>
  <c r="AA72" i="3"/>
  <c r="AN45" i="3"/>
  <c r="AE45" i="3"/>
  <c r="AH45" i="3"/>
  <c r="AQ45" i="3"/>
  <c r="AK45" i="3"/>
  <c r="AB45" i="3"/>
  <c r="AM67" i="3"/>
  <c r="AD67" i="3"/>
  <c r="AP67" i="3"/>
  <c r="AJ67" i="3"/>
  <c r="AG67" i="3"/>
  <c r="AA67" i="3"/>
  <c r="AH76" i="3"/>
  <c r="AN76" i="3"/>
  <c r="AE76" i="3"/>
  <c r="AK76" i="3"/>
  <c r="AQ76" i="3"/>
  <c r="AB76" i="3"/>
  <c r="AN33" i="3"/>
  <c r="AE33" i="3"/>
  <c r="AH33" i="3"/>
  <c r="AQ33" i="3"/>
  <c r="AK33" i="3"/>
  <c r="AB33" i="3"/>
  <c r="AN29" i="3"/>
  <c r="AE29" i="3"/>
  <c r="AK29" i="3"/>
  <c r="AH29" i="3"/>
  <c r="AQ29" i="3"/>
  <c r="AB29" i="3"/>
  <c r="AL80" i="3"/>
  <c r="AI80" i="3"/>
  <c r="AO80" i="3"/>
  <c r="AR80" i="3"/>
  <c r="AF80" i="3"/>
  <c r="AC80" i="3"/>
  <c r="AO38" i="3"/>
  <c r="AF38" i="3"/>
  <c r="AR38" i="3"/>
  <c r="AC38" i="3"/>
  <c r="AL38" i="3"/>
  <c r="AI38" i="3"/>
  <c r="AN77" i="3"/>
  <c r="AE77" i="3"/>
  <c r="AH77" i="3"/>
  <c r="AK77" i="3"/>
  <c r="AQ77" i="3"/>
  <c r="AB77" i="3"/>
  <c r="AN49" i="3"/>
  <c r="AK49" i="3"/>
  <c r="AQ49" i="3"/>
  <c r="AE49" i="3"/>
  <c r="AH49" i="3"/>
  <c r="AB49" i="3"/>
  <c r="AN21" i="3"/>
  <c r="AE21" i="3"/>
  <c r="AH21" i="3"/>
  <c r="AQ21" i="3"/>
  <c r="AK21" i="3"/>
  <c r="AB21" i="3"/>
  <c r="AN40" i="3"/>
  <c r="AE40" i="3"/>
  <c r="AH40" i="3"/>
  <c r="AQ40" i="3"/>
  <c r="AK40" i="3"/>
  <c r="AB40" i="3"/>
  <c r="AF87" i="3"/>
  <c r="AL87" i="3"/>
  <c r="AI87" i="3"/>
  <c r="AO87" i="3"/>
  <c r="AC87" i="3"/>
  <c r="AR87" i="3"/>
  <c r="AN41" i="3"/>
  <c r="AE41" i="3"/>
  <c r="AK41" i="3"/>
  <c r="AH41" i="3"/>
  <c r="AQ41" i="3"/>
  <c r="AB41" i="3"/>
  <c r="AM38" i="3"/>
  <c r="AD38" i="3"/>
  <c r="AG38" i="3"/>
  <c r="AP38" i="3"/>
  <c r="AJ38" i="3"/>
  <c r="AA38" i="3"/>
  <c r="AN81" i="3"/>
  <c r="AK81" i="3"/>
  <c r="AE81" i="3"/>
  <c r="AH81" i="3"/>
  <c r="AQ81" i="3"/>
  <c r="AB81" i="3"/>
  <c r="AO28" i="3"/>
  <c r="AF28" i="3"/>
  <c r="AI28" i="3"/>
  <c r="AR28" i="3"/>
  <c r="AL28" i="3"/>
  <c r="AC28" i="3"/>
  <c r="AO53" i="3"/>
  <c r="AF53" i="3"/>
  <c r="AI53" i="3"/>
  <c r="AR53" i="3"/>
  <c r="AL53" i="3"/>
  <c r="AC53" i="3"/>
  <c r="AM25" i="3"/>
  <c r="AD25" i="3"/>
  <c r="AG25" i="3"/>
  <c r="AJ25" i="3"/>
  <c r="AP25" i="3"/>
  <c r="AA25" i="3"/>
  <c r="AN42" i="3"/>
  <c r="AE42" i="3"/>
  <c r="AK42" i="3"/>
  <c r="AQ42" i="3"/>
  <c r="AH42" i="3"/>
  <c r="AB42" i="3"/>
  <c r="AM64" i="3"/>
  <c r="AJ64" i="3"/>
  <c r="AD64" i="3"/>
  <c r="AG64" i="3"/>
  <c r="AP64" i="3"/>
  <c r="AA64" i="3"/>
  <c r="AM19" i="3"/>
  <c r="AD19" i="3"/>
  <c r="AG19" i="3"/>
  <c r="AP19" i="3"/>
  <c r="AJ19" i="3"/>
  <c r="AA19" i="3"/>
  <c r="AO36" i="3"/>
  <c r="AF36" i="3"/>
  <c r="AL36" i="3"/>
  <c r="AI36" i="3"/>
  <c r="AR36" i="3"/>
  <c r="AC36" i="3"/>
  <c r="AO62" i="3"/>
  <c r="AF62" i="3"/>
  <c r="AR62" i="3"/>
  <c r="AC62" i="3"/>
  <c r="AL62" i="3"/>
  <c r="AI62" i="3"/>
  <c r="AM39" i="3"/>
  <c r="AD39" i="3"/>
  <c r="AG39" i="3"/>
  <c r="AJ39" i="3"/>
  <c r="AP39" i="3"/>
  <c r="AA39" i="3"/>
  <c r="AD66" i="3"/>
  <c r="AG66" i="3"/>
  <c r="AJ66" i="3"/>
  <c r="AP66" i="3"/>
  <c r="AM66" i="3"/>
  <c r="AA66" i="3"/>
  <c r="AD23" i="3"/>
  <c r="AM23" i="3"/>
  <c r="AJ23" i="3"/>
  <c r="AP23" i="3"/>
  <c r="AG23" i="3"/>
  <c r="AA23" i="3"/>
  <c r="AL67" i="3"/>
  <c r="AO67" i="3"/>
  <c r="AF67" i="3"/>
  <c r="AC67" i="3"/>
  <c r="AR67" i="3"/>
  <c r="AI67" i="3"/>
  <c r="AM63" i="3"/>
  <c r="AD63" i="3"/>
  <c r="AG63" i="3"/>
  <c r="AJ63" i="3"/>
  <c r="AP63" i="3"/>
  <c r="AA63" i="3"/>
  <c r="AO33" i="3"/>
  <c r="AF33" i="3"/>
  <c r="AI33" i="3"/>
  <c r="AR33" i="3"/>
  <c r="AL33" i="3"/>
  <c r="AC33" i="3"/>
  <c r="AO49" i="3"/>
  <c r="AF49" i="3"/>
  <c r="AL49" i="3"/>
  <c r="AR49" i="3"/>
  <c r="AI49" i="3"/>
  <c r="AC49" i="3"/>
  <c r="AN60" i="3"/>
  <c r="AE60" i="3"/>
  <c r="AQ60" i="3"/>
  <c r="AK60" i="3"/>
  <c r="AH60" i="3"/>
  <c r="AB60" i="3"/>
  <c r="AD30" i="3"/>
  <c r="AM30" i="3"/>
  <c r="AJ30" i="3"/>
  <c r="AP30" i="3"/>
  <c r="AA30" i="3"/>
  <c r="AG30" i="3"/>
  <c r="AN55" i="3"/>
  <c r="AE55" i="3"/>
  <c r="AQ55" i="3"/>
  <c r="AK55" i="3"/>
  <c r="AB55" i="3"/>
  <c r="AH55" i="3"/>
  <c r="AO47" i="3"/>
  <c r="AF47" i="3"/>
  <c r="AR47" i="3"/>
  <c r="AI47" i="3"/>
  <c r="AC47" i="3"/>
  <c r="AL47" i="3"/>
  <c r="AO72" i="3"/>
  <c r="AF72" i="3"/>
  <c r="AI72" i="3"/>
  <c r="AL72" i="3"/>
  <c r="AC72" i="3"/>
  <c r="AR72" i="3"/>
  <c r="AM33" i="3"/>
  <c r="AD33" i="3"/>
  <c r="AG33" i="3"/>
  <c r="AP33" i="3"/>
  <c r="AJ33" i="3"/>
  <c r="AA33" i="3"/>
  <c r="AM80" i="3"/>
  <c r="AD80" i="3"/>
  <c r="AJ80" i="3"/>
  <c r="AG80" i="3"/>
  <c r="AA80" i="3"/>
  <c r="AP80" i="3"/>
  <c r="AO25" i="3"/>
  <c r="AF25" i="3"/>
  <c r="AL25" i="3"/>
  <c r="AR25" i="3"/>
  <c r="AI25" i="3"/>
  <c r="AC25" i="3"/>
  <c r="AF39" i="3"/>
  <c r="AO39" i="3"/>
  <c r="AI39" i="3"/>
  <c r="AC39" i="3"/>
  <c r="AL39" i="3"/>
  <c r="AR39" i="3"/>
  <c r="AI68" i="3"/>
  <c r="AO68" i="3"/>
  <c r="AF68" i="3"/>
  <c r="AL68" i="3"/>
  <c r="AR68" i="3"/>
  <c r="AC68" i="3"/>
  <c r="AO45" i="3"/>
  <c r="AF45" i="3"/>
  <c r="AI45" i="3"/>
  <c r="AR45" i="3"/>
  <c r="AL45" i="3"/>
  <c r="AC45" i="3"/>
  <c r="AO29" i="3"/>
  <c r="AF29" i="3"/>
  <c r="AI29" i="3"/>
  <c r="AR29" i="3"/>
  <c r="AL29" i="3"/>
  <c r="AC29" i="3"/>
  <c r="AN30" i="3"/>
  <c r="AE30" i="3"/>
  <c r="AK30" i="3"/>
  <c r="AQ30" i="3"/>
  <c r="AH30" i="3"/>
  <c r="AB30" i="3"/>
  <c r="AE56" i="3"/>
  <c r="AH56" i="3"/>
  <c r="AN56" i="3"/>
  <c r="AK56" i="3"/>
  <c r="AQ56" i="3"/>
  <c r="AB56" i="3"/>
  <c r="AN64" i="3"/>
  <c r="AE64" i="3"/>
  <c r="AK64" i="3"/>
  <c r="AH64" i="3"/>
  <c r="AQ64" i="3"/>
  <c r="AB64" i="3"/>
  <c r="AM61" i="3"/>
  <c r="AD61" i="3"/>
  <c r="AG61" i="3"/>
  <c r="AJ61" i="3"/>
  <c r="AP61" i="3"/>
  <c r="AA61" i="3"/>
  <c r="AO52" i="3"/>
  <c r="AF52" i="3"/>
  <c r="AI52" i="3"/>
  <c r="AR52" i="3"/>
  <c r="AL52" i="3"/>
  <c r="AC52" i="3"/>
  <c r="AN39" i="3"/>
  <c r="AE39" i="3"/>
  <c r="AH39" i="3"/>
  <c r="AK39" i="3"/>
  <c r="AQ39" i="3"/>
  <c r="AB39" i="3"/>
  <c r="AO65" i="3"/>
  <c r="AF65" i="3"/>
  <c r="AL65" i="3"/>
  <c r="AI65" i="3"/>
  <c r="AR65" i="3"/>
  <c r="AC65" i="3"/>
  <c r="AL73" i="3"/>
  <c r="AI73" i="3"/>
  <c r="AO73" i="3"/>
  <c r="AF73" i="3"/>
  <c r="AR73" i="3"/>
  <c r="AC73" i="3"/>
  <c r="AM20" i="3"/>
  <c r="AD20" i="3"/>
  <c r="AG20" i="3"/>
  <c r="AJ20" i="3"/>
  <c r="AA20" i="3"/>
  <c r="AP20" i="3"/>
  <c r="AF34" i="3"/>
  <c r="AI34" i="3"/>
  <c r="AR34" i="3"/>
  <c r="AL34" i="3"/>
  <c r="AO34" i="3"/>
  <c r="AC34" i="3"/>
  <c r="AK66" i="3"/>
  <c r="AN66" i="3"/>
  <c r="AE66" i="3"/>
  <c r="AH66" i="3"/>
  <c r="AQ66" i="3"/>
  <c r="AB66" i="3"/>
  <c r="AN23" i="3"/>
  <c r="AE23" i="3"/>
  <c r="AK23" i="3"/>
  <c r="AQ23" i="3"/>
  <c r="AH23" i="3"/>
  <c r="AB23" i="3"/>
  <c r="AN63" i="3"/>
  <c r="AE63" i="3"/>
  <c r="AH63" i="3"/>
  <c r="AK63" i="3"/>
  <c r="AQ63" i="3"/>
  <c r="AB63" i="3"/>
  <c r="AN31" i="3"/>
  <c r="AE31" i="3"/>
  <c r="AQ31" i="3"/>
  <c r="AK31" i="3"/>
  <c r="AH31" i="3"/>
  <c r="AB31" i="3"/>
  <c r="AM41" i="3"/>
  <c r="AD41" i="3"/>
  <c r="AP41" i="3"/>
  <c r="AJ41" i="3"/>
  <c r="AG41" i="3"/>
  <c r="AA41" i="3"/>
  <c r="AM55" i="3"/>
  <c r="AD55" i="3"/>
  <c r="AG55" i="3"/>
  <c r="AP55" i="3"/>
  <c r="AJ55" i="3"/>
  <c r="AA55" i="3"/>
  <c r="AO84" i="3"/>
  <c r="AF84" i="3"/>
  <c r="AI84" i="3"/>
  <c r="AL84" i="3"/>
  <c r="AC84" i="3"/>
  <c r="AR84" i="3"/>
  <c r="AO48" i="3"/>
  <c r="AF48" i="3"/>
  <c r="AL48" i="3"/>
  <c r="AC48" i="3"/>
  <c r="AI48" i="3"/>
  <c r="AR48" i="3"/>
  <c r="AM70" i="3"/>
  <c r="AD70" i="3"/>
  <c r="AJ70" i="3"/>
  <c r="AP70" i="3"/>
  <c r="AG70" i="3"/>
  <c r="AA70" i="3"/>
  <c r="AJ77" i="3"/>
  <c r="AM77" i="3"/>
  <c r="AG77" i="3"/>
  <c r="AD77" i="3"/>
  <c r="AP77" i="3"/>
  <c r="AA77" i="3"/>
  <c r="AN53" i="3"/>
  <c r="AE53" i="3"/>
  <c r="AK53" i="3"/>
  <c r="AH53" i="3"/>
  <c r="AQ53" i="3"/>
  <c r="AB53" i="3"/>
  <c r="AM73" i="3"/>
  <c r="AD73" i="3"/>
  <c r="AJ73" i="3"/>
  <c r="AP73" i="3"/>
  <c r="AG73" i="3"/>
  <c r="AA73" i="3"/>
  <c r="AM44" i="3"/>
  <c r="AD44" i="3"/>
  <c r="AG44" i="3"/>
  <c r="AJ44" i="3"/>
  <c r="AP44" i="3"/>
  <c r="AA44" i="3"/>
  <c r="AN25" i="3"/>
  <c r="AK25" i="3"/>
  <c r="AE25" i="3"/>
  <c r="AQ25" i="3"/>
  <c r="AB25" i="3"/>
  <c r="AH25" i="3"/>
  <c r="AD42" i="3"/>
  <c r="AJ42" i="3"/>
  <c r="AM42" i="3"/>
  <c r="AP42" i="3"/>
  <c r="AA42" i="3"/>
  <c r="AG42" i="3"/>
  <c r="AO81" i="3"/>
  <c r="AL81" i="3"/>
  <c r="AF81" i="3"/>
  <c r="AI81" i="3"/>
  <c r="AR81" i="3"/>
  <c r="AC81" i="3"/>
  <c r="AM69" i="3"/>
  <c r="AJ69" i="3"/>
  <c r="AD69" i="3"/>
  <c r="AG69" i="3"/>
  <c r="AP69" i="3"/>
  <c r="AA69" i="3"/>
  <c r="AJ74" i="3"/>
  <c r="AM74" i="3"/>
  <c r="AD74" i="3"/>
  <c r="AP74" i="3"/>
  <c r="AA74" i="3"/>
  <c r="AG74" i="3"/>
  <c r="AM56" i="3"/>
  <c r="AD56" i="3"/>
  <c r="AG56" i="3"/>
  <c r="AJ56" i="3"/>
  <c r="AA56" i="3"/>
  <c r="AP56" i="3"/>
  <c r="AO64" i="3"/>
  <c r="AF64" i="3"/>
  <c r="AC64" i="3"/>
  <c r="AL64" i="3"/>
  <c r="AR64" i="3"/>
  <c r="AI64" i="3"/>
  <c r="AN61" i="3"/>
  <c r="AE61" i="3"/>
  <c r="AK61" i="3"/>
  <c r="AQ61" i="3"/>
  <c r="AH61" i="3"/>
  <c r="AB61" i="3"/>
  <c r="AM52" i="3"/>
  <c r="AJ52" i="3"/>
  <c r="AG52" i="3"/>
  <c r="AP52" i="3"/>
  <c r="AD52" i="3"/>
  <c r="AA52" i="3"/>
  <c r="AD90" i="3"/>
  <c r="AJ90" i="3"/>
  <c r="AG90" i="3"/>
  <c r="AP90" i="3"/>
  <c r="AM90" i="3"/>
  <c r="AA90" i="3"/>
  <c r="AN54" i="3"/>
  <c r="AE54" i="3"/>
  <c r="AK54" i="3"/>
  <c r="AQ54" i="3"/>
  <c r="AH54" i="3"/>
  <c r="AB54" i="3"/>
  <c r="AJ65" i="3"/>
  <c r="AM65" i="3"/>
  <c r="AD65" i="3"/>
  <c r="AG65" i="3"/>
  <c r="AP65" i="3"/>
  <c r="AA65" i="3"/>
  <c r="AM34" i="3"/>
  <c r="AD34" i="3"/>
  <c r="AP34" i="3"/>
  <c r="AJ34" i="3"/>
  <c r="AG34" i="3"/>
  <c r="AA34" i="3"/>
  <c r="AO32" i="3"/>
  <c r="AF32" i="3"/>
  <c r="AL32" i="3"/>
  <c r="AR32" i="3"/>
  <c r="AC32" i="3"/>
  <c r="AI32" i="3"/>
  <c r="AM45" i="3"/>
  <c r="AD45" i="3"/>
  <c r="AG45" i="3"/>
  <c r="AP45" i="3"/>
  <c r="AJ45" i="3"/>
  <c r="AA45" i="3"/>
  <c r="AN22" i="3"/>
  <c r="AE22" i="3"/>
  <c r="AH22" i="3"/>
  <c r="AK22" i="3"/>
  <c r="AB22" i="3"/>
  <c r="AQ22" i="3"/>
  <c r="AO41" i="3"/>
  <c r="AF41" i="3"/>
  <c r="AI41" i="3"/>
  <c r="AR41" i="3"/>
  <c r="AL41" i="3"/>
  <c r="AC41" i="3"/>
  <c r="AN57" i="3"/>
  <c r="AE57" i="3"/>
  <c r="AH57" i="3"/>
  <c r="AQ57" i="3"/>
  <c r="AK57" i="3"/>
  <c r="AB57" i="3"/>
  <c r="AO60" i="3"/>
  <c r="AF60" i="3"/>
  <c r="AL60" i="3"/>
  <c r="AC60" i="3"/>
  <c r="AI60" i="3"/>
  <c r="AR60" i="3"/>
  <c r="AO30" i="3"/>
  <c r="AF30" i="3"/>
  <c r="AL30" i="3"/>
  <c r="AR30" i="3"/>
  <c r="AI30" i="3"/>
  <c r="AC30" i="3"/>
  <c r="AO89" i="3"/>
  <c r="AI89" i="3"/>
  <c r="AF89" i="3"/>
  <c r="AL89" i="3"/>
  <c r="AR89" i="3"/>
  <c r="AC89" i="3"/>
  <c r="AM24" i="3"/>
  <c r="AD24" i="3"/>
  <c r="AP24" i="3"/>
  <c r="AJ24" i="3"/>
  <c r="AA24" i="3"/>
  <c r="AG24" i="3"/>
  <c r="AN52" i="3"/>
  <c r="AE52" i="3"/>
  <c r="AH52" i="3"/>
  <c r="AQ52" i="3"/>
  <c r="AK52" i="3"/>
  <c r="AB52" i="3"/>
  <c r="AE32" i="3"/>
  <c r="AH32" i="3"/>
  <c r="AK32" i="3"/>
  <c r="AQ32" i="3"/>
  <c r="AN32" i="3"/>
  <c r="AB32" i="3"/>
  <c r="AO55" i="3"/>
  <c r="AF55" i="3"/>
  <c r="AL55" i="3"/>
  <c r="AI55" i="3"/>
  <c r="AR55" i="3"/>
  <c r="AC55" i="3"/>
  <c r="AO56" i="3"/>
  <c r="AL56" i="3"/>
  <c r="AF56" i="3"/>
  <c r="AR56" i="3"/>
  <c r="AC56" i="3"/>
  <c r="AI56" i="3"/>
  <c r="AN65" i="3"/>
  <c r="AE65" i="3"/>
  <c r="AK65" i="3"/>
  <c r="AQ65" i="3"/>
  <c r="AH65" i="3"/>
  <c r="AB65" i="3"/>
  <c r="AG75" i="3"/>
  <c r="AM75" i="3"/>
  <c r="AD75" i="3"/>
  <c r="AJ75" i="3"/>
  <c r="AP75" i="3"/>
  <c r="AA75" i="3"/>
  <c r="AF22" i="3"/>
  <c r="AI22" i="3"/>
  <c r="AO22" i="3"/>
  <c r="AR22" i="3"/>
  <c r="AL22" i="3"/>
  <c r="AC22" i="3"/>
  <c r="AO57" i="3"/>
  <c r="AF57" i="3"/>
  <c r="AI57" i="3"/>
  <c r="AR57" i="3"/>
  <c r="AL57" i="3"/>
  <c r="AC57" i="3"/>
  <c r="AN24" i="3"/>
  <c r="AE24" i="3"/>
  <c r="AQ24" i="3"/>
  <c r="AK24" i="3"/>
  <c r="AH24" i="3"/>
  <c r="AB24" i="3"/>
  <c r="AL74" i="3"/>
  <c r="AO74" i="3"/>
  <c r="AF74" i="3"/>
  <c r="AI74" i="3"/>
  <c r="AR74" i="3"/>
  <c r="AC74" i="3"/>
  <c r="AD78" i="3"/>
  <c r="AJ78" i="3"/>
  <c r="AG78" i="3"/>
  <c r="AM78" i="3"/>
  <c r="AP78" i="3"/>
  <c r="AA78" i="3"/>
  <c r="AI83" i="3"/>
  <c r="AO83" i="3"/>
  <c r="AF83" i="3"/>
  <c r="AL83" i="3"/>
  <c r="AR83" i="3"/>
  <c r="AC83" i="3"/>
  <c r="AK90" i="3"/>
  <c r="AH90" i="3"/>
  <c r="AN90" i="3"/>
  <c r="AE90" i="3"/>
  <c r="AQ90" i="3"/>
  <c r="AB90" i="3"/>
  <c r="AD54" i="3"/>
  <c r="AM54" i="3"/>
  <c r="AJ54" i="3"/>
  <c r="AP54" i="3"/>
  <c r="AA54" i="3"/>
  <c r="AG54" i="3"/>
  <c r="AD35" i="3"/>
  <c r="AM35" i="3"/>
  <c r="AJ35" i="3"/>
  <c r="AP35" i="3"/>
  <c r="AG35" i="3"/>
  <c r="AA35" i="3"/>
  <c r="AN75" i="3"/>
  <c r="AE75" i="3"/>
  <c r="AK75" i="3"/>
  <c r="AH75" i="3"/>
  <c r="AQ75" i="3"/>
  <c r="AB75" i="3"/>
  <c r="AK79" i="3"/>
  <c r="AN79" i="3"/>
  <c r="AE79" i="3"/>
  <c r="AH79" i="3"/>
  <c r="AQ79" i="3"/>
  <c r="AB79" i="3"/>
  <c r="AF27" i="3"/>
  <c r="AO27" i="3"/>
  <c r="AI27" i="3"/>
  <c r="AC27" i="3"/>
  <c r="AL27" i="3"/>
  <c r="AR27" i="3"/>
  <c r="AN51" i="3"/>
  <c r="AE51" i="3"/>
  <c r="AH51" i="3"/>
  <c r="AK51" i="3"/>
  <c r="AQ51" i="3"/>
  <c r="AB51" i="3"/>
  <c r="AN69" i="3"/>
  <c r="AK69" i="3"/>
  <c r="AE69" i="3"/>
  <c r="AQ69" i="3"/>
  <c r="AH69" i="3"/>
  <c r="AB69" i="3"/>
  <c r="AM57" i="3"/>
  <c r="AD57" i="3"/>
  <c r="AG57" i="3"/>
  <c r="AP57" i="3"/>
  <c r="AJ57" i="3"/>
  <c r="AA57" i="3"/>
  <c r="AM46" i="3"/>
  <c r="AD46" i="3"/>
  <c r="AP46" i="3"/>
  <c r="AJ46" i="3"/>
  <c r="AG46" i="3"/>
  <c r="AA46" i="3"/>
  <c r="AO26" i="3"/>
  <c r="AF26" i="3"/>
  <c r="AR26" i="3"/>
  <c r="AL26" i="3"/>
  <c r="AC26" i="3"/>
  <c r="AI26" i="3"/>
  <c r="AN89" i="3"/>
  <c r="AE89" i="3"/>
  <c r="AH89" i="3"/>
  <c r="AK89" i="3"/>
  <c r="AQ89" i="3"/>
  <c r="AB89" i="3"/>
  <c r="AN50" i="3"/>
  <c r="AE50" i="3"/>
  <c r="AH50" i="3"/>
  <c r="AQ50" i="3"/>
  <c r="AK50" i="3"/>
  <c r="AB50" i="3"/>
  <c r="AN36" i="3"/>
  <c r="AE36" i="3"/>
  <c r="AQ36" i="3"/>
  <c r="AK36" i="3"/>
  <c r="AH36" i="3"/>
  <c r="AB36" i="3"/>
  <c r="AN62" i="3"/>
  <c r="AE62" i="3"/>
  <c r="AH62" i="3"/>
  <c r="AQ62" i="3"/>
  <c r="AK62" i="3"/>
  <c r="AB62" i="3"/>
  <c r="AM62" i="3"/>
  <c r="AD62" i="3"/>
  <c r="AG62" i="3"/>
  <c r="AP62" i="3"/>
  <c r="AJ62" i="3"/>
  <c r="AA62" i="3"/>
  <c r="AM51" i="3"/>
  <c r="AD51" i="3"/>
  <c r="AG51" i="3"/>
  <c r="AJ51" i="3"/>
  <c r="AP51" i="3"/>
  <c r="AA51" i="3"/>
  <c r="AM53" i="3"/>
  <c r="AD53" i="3"/>
  <c r="AP53" i="3"/>
  <c r="AJ53" i="3"/>
  <c r="AG53" i="3"/>
  <c r="AA53" i="3"/>
  <c r="AO61" i="3"/>
  <c r="AF61" i="3"/>
  <c r="AL61" i="3"/>
  <c r="AR61" i="3"/>
  <c r="AI61" i="3"/>
  <c r="AC61" i="3"/>
  <c r="AO20" i="3"/>
  <c r="AL20" i="3"/>
  <c r="AR20" i="3"/>
  <c r="AC20" i="3"/>
  <c r="AF20" i="3"/>
  <c r="AI20" i="3"/>
  <c r="AO23" i="3"/>
  <c r="AF23" i="3"/>
  <c r="AR23" i="3"/>
  <c r="AI23" i="3"/>
  <c r="AL23" i="3"/>
  <c r="AC23" i="3"/>
  <c r="AF63" i="3"/>
  <c r="AO63" i="3"/>
  <c r="AI63" i="3"/>
  <c r="AC63" i="3"/>
  <c r="AL63" i="3"/>
  <c r="AR63" i="3"/>
  <c r="AN82" i="3"/>
  <c r="AH82" i="3"/>
  <c r="AE82" i="3"/>
  <c r="AK82" i="3"/>
  <c r="AB82" i="3"/>
  <c r="AQ82" i="3"/>
  <c r="AM26" i="3"/>
  <c r="AD26" i="3"/>
  <c r="AG26" i="3"/>
  <c r="AP26" i="3"/>
  <c r="AJ26" i="3"/>
  <c r="AA26" i="3"/>
  <c r="AN38" i="3"/>
  <c r="AE38" i="3"/>
  <c r="AH38" i="3"/>
  <c r="AQ38" i="3"/>
  <c r="AK38" i="3"/>
  <c r="AB38" i="3"/>
  <c r="AO88" i="3"/>
  <c r="AL88" i="3"/>
  <c r="AF88" i="3"/>
  <c r="AC88" i="3"/>
  <c r="AR88" i="3"/>
  <c r="AI88" i="3"/>
  <c r="AN28" i="3"/>
  <c r="AE28" i="3"/>
  <c r="AH28" i="3"/>
  <c r="AQ28" i="3"/>
  <c r="AK28" i="3"/>
  <c r="AB28" i="3"/>
  <c r="AM37" i="3"/>
  <c r="AD37" i="3"/>
  <c r="AG37" i="3"/>
  <c r="AJ37" i="3"/>
  <c r="AP37" i="3"/>
  <c r="AA37" i="3"/>
  <c r="AH83" i="3"/>
  <c r="AN83" i="3"/>
  <c r="AE83" i="3"/>
  <c r="AK83" i="3"/>
  <c r="AQ83" i="3"/>
  <c r="AB83" i="3"/>
  <c r="AM50" i="3"/>
  <c r="AD50" i="3"/>
  <c r="AG50" i="3"/>
  <c r="AP50" i="3"/>
  <c r="AJ50" i="3"/>
  <c r="AA50" i="3"/>
  <c r="AG87" i="3"/>
  <c r="AM87" i="3"/>
  <c r="AD87" i="3"/>
  <c r="AJ87" i="3"/>
  <c r="AP87" i="3"/>
  <c r="AA87" i="3"/>
  <c r="AN59" i="3"/>
  <c r="AE59" i="3"/>
  <c r="AK59" i="3"/>
  <c r="AQ59" i="3"/>
  <c r="AH59" i="3"/>
  <c r="AB59" i="3"/>
  <c r="AO54" i="3"/>
  <c r="AF54" i="3"/>
  <c r="AL54" i="3"/>
  <c r="AR54" i="3"/>
  <c r="AI54" i="3"/>
  <c r="AC54" i="3"/>
  <c r="AN35" i="3"/>
  <c r="AE35" i="3"/>
  <c r="AK35" i="3"/>
  <c r="AQ35" i="3"/>
  <c r="AH35" i="3"/>
  <c r="AB35" i="3"/>
  <c r="AL86" i="3"/>
  <c r="AO86" i="3"/>
  <c r="AF86" i="3"/>
  <c r="AI86" i="3"/>
  <c r="AR86" i="3"/>
  <c r="AC86" i="3"/>
  <c r="AE68" i="3"/>
  <c r="AK68" i="3"/>
  <c r="AH68" i="3"/>
  <c r="AN68" i="3"/>
  <c r="AQ68" i="3"/>
  <c r="AB68" i="3"/>
  <c r="AM32" i="3"/>
  <c r="AD32" i="3"/>
  <c r="AG32" i="3"/>
  <c r="AJ32" i="3"/>
  <c r="AA32" i="3"/>
  <c r="AP32" i="3"/>
  <c r="AM27" i="3"/>
  <c r="AD27" i="3"/>
  <c r="AG27" i="3"/>
  <c r="AJ27" i="3"/>
  <c r="AP27" i="3"/>
  <c r="AA27" i="3"/>
  <c r="AN48" i="3"/>
  <c r="AE48" i="3"/>
  <c r="AQ48" i="3"/>
  <c r="AK48" i="3"/>
  <c r="AH48" i="3"/>
  <c r="AB48" i="3"/>
  <c r="AM22" i="3"/>
  <c r="AD22" i="3"/>
  <c r="AP22" i="3"/>
  <c r="AJ22" i="3"/>
  <c r="AG22" i="3"/>
  <c r="AA22" i="3"/>
  <c r="AN70" i="3"/>
  <c r="AE70" i="3"/>
  <c r="AK70" i="3"/>
  <c r="AH70" i="3"/>
  <c r="AQ70" i="3"/>
  <c r="AB70" i="3"/>
  <c r="AF82" i="3"/>
  <c r="AL82" i="3"/>
  <c r="AI82" i="3"/>
  <c r="AO82" i="3"/>
  <c r="AC82" i="3"/>
  <c r="AR82" i="3"/>
  <c r="AO76" i="3"/>
  <c r="AL76" i="3"/>
  <c r="AF76" i="3"/>
  <c r="AC76" i="3"/>
  <c r="AR76" i="3"/>
  <c r="AI76" i="3"/>
  <c r="AN26" i="3"/>
  <c r="AE26" i="3"/>
  <c r="AH26" i="3"/>
  <c r="AQ26" i="3"/>
  <c r="AK26" i="3"/>
  <c r="AB26" i="3"/>
  <c r="AN19" i="3"/>
  <c r="AE19" i="3"/>
  <c r="AQ19" i="3"/>
  <c r="AK19" i="3"/>
  <c r="AH19" i="3"/>
  <c r="AB19" i="3"/>
  <c r="AI78" i="3"/>
  <c r="AO78" i="3"/>
  <c r="AF78" i="3"/>
  <c r="AL78" i="3"/>
  <c r="AR78" i="3"/>
  <c r="AC78" i="3"/>
  <c r="AO42" i="3"/>
  <c r="AF42" i="3"/>
  <c r="AL42" i="3"/>
  <c r="AR42" i="3"/>
  <c r="AI42" i="3"/>
  <c r="AC42" i="3"/>
  <c r="AI90" i="3"/>
  <c r="AO90" i="3"/>
  <c r="AF90" i="3"/>
  <c r="AL90" i="3"/>
  <c r="AR90" i="3"/>
  <c r="AC90" i="3"/>
  <c r="AJ86" i="3"/>
  <c r="AM86" i="3"/>
  <c r="AD86" i="3"/>
  <c r="AP86" i="3"/>
  <c r="AA86" i="3"/>
  <c r="AG86" i="3"/>
  <c r="AO24" i="3"/>
  <c r="AF24" i="3"/>
  <c r="AL24" i="3"/>
  <c r="AI24" i="3"/>
  <c r="AC24" i="3"/>
  <c r="AR24" i="3"/>
  <c r="AD59" i="3"/>
  <c r="AM59" i="3"/>
  <c r="AJ59" i="3"/>
  <c r="AP59" i="3"/>
  <c r="AG59" i="3"/>
  <c r="AA59" i="3"/>
  <c r="AK86" i="3"/>
  <c r="AN86" i="3"/>
  <c r="AE86" i="3"/>
  <c r="AH86" i="3"/>
  <c r="AQ86" i="3"/>
  <c r="AB86" i="3"/>
  <c r="AF51" i="3"/>
  <c r="AO51" i="3"/>
  <c r="AI51" i="3"/>
  <c r="AC51" i="3"/>
  <c r="AL51" i="3"/>
  <c r="AR51" i="3"/>
  <c r="AM31" i="3"/>
  <c r="AD31" i="3"/>
  <c r="AG31" i="3"/>
  <c r="AP31" i="3"/>
  <c r="AJ31" i="3"/>
  <c r="AA31" i="3"/>
  <c r="AM60" i="3"/>
  <c r="AD60" i="3"/>
  <c r="AP60" i="3"/>
  <c r="AJ60" i="3"/>
  <c r="AG60" i="3"/>
  <c r="AA60" i="3"/>
  <c r="AH88" i="3"/>
  <c r="AN88" i="3"/>
  <c r="AE88" i="3"/>
  <c r="AK88" i="3"/>
  <c r="AQ88" i="3"/>
  <c r="AB88" i="3"/>
  <c r="AO37" i="3"/>
  <c r="AF37" i="3"/>
  <c r="AL37" i="3"/>
  <c r="AR37" i="3"/>
  <c r="AI37" i="3"/>
  <c r="AC37" i="3"/>
  <c r="AN47" i="3"/>
  <c r="AE47" i="3"/>
  <c r="AK47" i="3"/>
  <c r="AQ47" i="3"/>
  <c r="AH47" i="3"/>
  <c r="AB47" i="3"/>
  <c r="AO40" i="3"/>
  <c r="AF40" i="3"/>
  <c r="AI40" i="3"/>
  <c r="AR40" i="3"/>
  <c r="AL40" i="3"/>
  <c r="AC40" i="3"/>
  <c r="AN43" i="3"/>
  <c r="AE43" i="3"/>
  <c r="AQ43" i="3"/>
  <c r="AK43" i="3"/>
  <c r="AB43" i="3"/>
  <c r="AH43" i="3"/>
  <c r="AO50" i="3"/>
  <c r="AF50" i="3"/>
  <c r="AR50" i="3"/>
  <c r="AC50" i="3"/>
  <c r="AL50" i="3"/>
  <c r="AI50" i="3"/>
  <c r="AN87" i="3"/>
  <c r="AE87" i="3"/>
  <c r="AK87" i="3"/>
  <c r="AH87" i="3"/>
  <c r="AQ87" i="3"/>
  <c r="AB87" i="3"/>
  <c r="AO59" i="3"/>
  <c r="AF59" i="3"/>
  <c r="AR59" i="3"/>
  <c r="AI59" i="3"/>
  <c r="AC59" i="3"/>
  <c r="AL59" i="3"/>
  <c r="AJ79" i="3"/>
  <c r="AM79" i="3"/>
  <c r="AD79" i="3"/>
  <c r="AG79" i="3"/>
  <c r="AP79" i="3"/>
  <c r="AA79" i="3"/>
  <c r="AN27" i="3"/>
  <c r="AE27" i="3"/>
  <c r="AH27" i="3"/>
  <c r="AK27" i="3"/>
  <c r="AQ27" i="3"/>
  <c r="AB27" i="3"/>
  <c r="AF70" i="3"/>
  <c r="AL70" i="3"/>
  <c r="AI70" i="3"/>
  <c r="AO70" i="3"/>
  <c r="AR70" i="3"/>
  <c r="AC70" i="3"/>
  <c r="AM82" i="3"/>
  <c r="AG82" i="3"/>
  <c r="AD82" i="3"/>
  <c r="AJ82" i="3"/>
  <c r="AP82" i="3"/>
  <c r="AA82" i="3"/>
  <c r="AN46" i="3"/>
  <c r="AE46" i="3"/>
  <c r="AH46" i="3"/>
  <c r="AK46" i="3"/>
  <c r="AB46" i="3"/>
  <c r="AQ46" i="3"/>
  <c r="AO77" i="3"/>
  <c r="AI77" i="3"/>
  <c r="AF77" i="3"/>
  <c r="AL77" i="3"/>
  <c r="AR77" i="3"/>
  <c r="AC77" i="3"/>
  <c r="AO44" i="3"/>
  <c r="AL44" i="3"/>
  <c r="AR44" i="3"/>
  <c r="AC44" i="3"/>
  <c r="AF44" i="3"/>
  <c r="AI44" i="3"/>
  <c r="AG76" i="3"/>
  <c r="AM76" i="3"/>
  <c r="AJ76" i="3"/>
  <c r="AP76" i="3"/>
  <c r="AD76" i="3"/>
  <c r="AA76" i="3"/>
  <c r="AS71" i="3"/>
  <c r="AS18" i="3" l="1"/>
  <c r="AU18" i="3"/>
  <c r="AT18" i="3"/>
  <c r="AS25" i="3"/>
  <c r="AS75" i="3"/>
  <c r="AS33" i="3"/>
  <c r="AS87" i="3"/>
  <c r="AS27" i="3"/>
  <c r="AS37" i="3"/>
  <c r="AS51" i="3"/>
  <c r="AS47" i="3"/>
  <c r="AS50" i="3"/>
  <c r="AU47" i="3"/>
  <c r="AS78" i="3"/>
  <c r="AU75" i="3"/>
  <c r="AU66" i="3"/>
  <c r="AU33" i="3"/>
  <c r="AU60" i="3"/>
  <c r="AU24" i="3"/>
  <c r="AU50" i="3"/>
  <c r="AS42" i="3"/>
  <c r="AU87" i="3"/>
  <c r="AU67" i="3"/>
  <c r="AU51" i="3"/>
  <c r="AU84" i="3"/>
  <c r="AU37" i="3"/>
  <c r="AU70" i="3"/>
  <c r="AU65" i="3"/>
  <c r="AU27" i="3"/>
  <c r="AU80" i="3"/>
  <c r="AS67" i="3"/>
  <c r="AU25" i="3"/>
  <c r="AU63" i="3"/>
  <c r="AU71" i="3"/>
  <c r="AU81" i="3"/>
  <c r="AU32" i="3"/>
  <c r="AS83" i="3"/>
  <c r="AS60" i="3"/>
  <c r="AS22" i="3"/>
  <c r="AS64" i="3"/>
  <c r="AS24" i="3"/>
  <c r="AS49" i="3"/>
  <c r="AS59" i="3"/>
  <c r="AS89" i="3"/>
  <c r="AS36" i="3"/>
  <c r="AS34" i="3"/>
  <c r="AS32" i="3"/>
  <c r="AS84" i="3"/>
  <c r="AT32" i="3"/>
  <c r="AT67" i="3"/>
  <c r="AT47" i="3"/>
  <c r="AT33" i="3"/>
  <c r="AT65" i="3"/>
  <c r="AT80" i="3"/>
  <c r="AS90" i="3"/>
  <c r="AS79" i="3"/>
  <c r="AT71" i="3"/>
  <c r="AS53" i="3"/>
  <c r="AS86" i="3"/>
  <c r="AT25" i="3"/>
  <c r="AS72" i="3"/>
  <c r="AS20" i="3"/>
  <c r="AT81" i="3"/>
  <c r="AS26" i="3"/>
  <c r="AS40" i="3"/>
  <c r="AS28" i="3"/>
  <c r="AS19" i="3"/>
  <c r="AT87" i="3"/>
  <c r="AS61" i="3"/>
  <c r="AS77" i="3"/>
  <c r="AS54" i="3"/>
  <c r="AS80" i="3"/>
  <c r="AT37" i="3"/>
  <c r="AS70" i="3"/>
  <c r="AS81" i="3"/>
  <c r="AS73" i="3"/>
  <c r="AS46" i="3"/>
  <c r="AT21" i="3"/>
  <c r="AS23" i="3"/>
  <c r="AS45" i="3"/>
  <c r="AS69" i="3"/>
  <c r="AT84" i="3"/>
  <c r="AT75" i="3"/>
  <c r="AS55" i="3"/>
  <c r="AT66" i="3"/>
  <c r="AS38" i="3"/>
  <c r="AS41" i="3"/>
  <c r="AS43" i="3"/>
  <c r="AS58" i="3"/>
  <c r="AS44" i="3"/>
  <c r="AS68" i="3"/>
  <c r="AS21" i="3"/>
  <c r="AS65" i="3"/>
  <c r="AS63" i="3"/>
  <c r="AS76" i="3"/>
  <c r="AS56" i="3"/>
  <c r="AT51" i="3"/>
  <c r="AT27" i="3"/>
  <c r="AS88" i="3"/>
  <c r="AS52" i="3"/>
  <c r="AS66" i="3"/>
  <c r="AS74" i="3"/>
  <c r="AS30" i="3"/>
  <c r="AT24" i="3"/>
  <c r="AS48" i="3"/>
  <c r="AS62" i="3"/>
  <c r="AS82" i="3"/>
  <c r="AT63" i="3"/>
  <c r="AT50" i="3"/>
  <c r="AT70" i="3"/>
  <c r="AS29" i="3"/>
  <c r="AS85" i="3"/>
  <c r="AS39" i="3"/>
  <c r="AS35" i="3"/>
  <c r="AS31" i="3"/>
  <c r="AS57" i="3"/>
  <c r="AU78" i="3" l="1"/>
  <c r="AU21" i="3"/>
  <c r="AU31" i="3"/>
  <c r="AU57" i="3"/>
  <c r="AU64" i="3"/>
  <c r="AU20" i="3"/>
  <c r="AU77" i="3"/>
  <c r="AU82" i="3"/>
  <c r="AU30" i="3"/>
  <c r="AU53" i="3"/>
  <c r="AU36" i="3"/>
  <c r="AU38" i="3"/>
  <c r="AU72" i="3"/>
  <c r="AU69" i="3"/>
  <c r="AU55" i="3"/>
  <c r="AU85" i="3"/>
  <c r="AU39" i="3"/>
  <c r="AU52" i="3"/>
  <c r="AU19" i="3"/>
  <c r="AU79" i="3"/>
  <c r="AU28" i="3"/>
  <c r="AU46" i="3"/>
  <c r="AU74" i="3"/>
  <c r="AU26" i="3"/>
  <c r="AU23" i="3"/>
  <c r="AU61" i="3"/>
  <c r="AU45" i="3"/>
  <c r="AU62" i="3"/>
  <c r="AU86" i="3"/>
  <c r="AU58" i="3"/>
  <c r="AU89" i="3"/>
  <c r="AU73" i="3"/>
  <c r="AU42" i="3"/>
  <c r="AU40" i="3"/>
  <c r="AU22" i="3"/>
  <c r="AU43" i="3"/>
  <c r="AU88" i="3"/>
  <c r="AU54" i="3"/>
  <c r="AU56" i="3"/>
  <c r="AU90" i="3"/>
  <c r="AU48" i="3"/>
  <c r="AU29" i="3"/>
  <c r="AU44" i="3"/>
  <c r="AU59" i="3"/>
  <c r="AU49" i="3"/>
  <c r="AU68" i="3"/>
  <c r="AU34" i="3"/>
  <c r="AU41" i="3"/>
  <c r="AU35" i="3"/>
  <c r="AU76" i="3"/>
  <c r="AU83" i="3"/>
  <c r="AT40" i="3"/>
  <c r="AT78" i="3"/>
  <c r="AT43" i="3"/>
  <c r="AT74" i="3"/>
  <c r="AT30" i="3"/>
  <c r="AT42" i="3"/>
  <c r="AT53" i="3"/>
  <c r="AT62" i="3"/>
  <c r="AT35" i="3"/>
  <c r="AT20" i="3"/>
  <c r="AT34" i="3"/>
  <c r="AT55" i="3"/>
  <c r="AT57" i="3"/>
  <c r="AT79" i="3"/>
  <c r="AT68" i="3"/>
  <c r="AT36" i="3"/>
  <c r="AT56" i="3"/>
  <c r="AT73" i="3"/>
  <c r="AT41" i="3"/>
  <c r="AT54" i="3"/>
  <c r="AT19" i="3"/>
  <c r="AT44" i="3"/>
  <c r="AT29" i="3"/>
  <c r="AT28" i="3"/>
  <c r="AT58" i="3"/>
  <c r="AT59" i="3"/>
  <c r="AT61" i="3"/>
  <c r="AT52" i="3"/>
  <c r="AT31" i="3"/>
  <c r="AT89" i="3"/>
  <c r="AT45" i="3"/>
  <c r="AT26" i="3"/>
  <c r="AT88" i="3"/>
  <c r="AT86" i="3"/>
  <c r="AT48" i="3"/>
  <c r="AT49" i="3"/>
  <c r="AT77" i="3"/>
  <c r="AT64" i="3"/>
  <c r="AT60" i="3"/>
  <c r="AT46" i="3"/>
  <c r="AT76" i="3"/>
  <c r="AT82" i="3"/>
  <c r="AT39" i="3"/>
  <c r="AT90" i="3"/>
  <c r="AT83" i="3"/>
  <c r="AT22" i="3"/>
  <c r="AT23" i="3"/>
  <c r="AT72" i="3"/>
  <c r="AT69" i="3"/>
  <c r="AT85" i="3"/>
  <c r="AT38" i="3"/>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FB3F2140-1977-4A15-B071-4085B808B4CB}" keepAlive="1" name="Abfrage - Baukon" description="Verbindung mit der Abfrage 'Baukon' in der Arbeitsmappe." type="5" refreshedVersion="0" background="1">
    <dbPr connection="Provider=Microsoft.Mashup.OleDb.1;Data Source=$Workbook$;Location=Baukon;Extended Properties=&quot;&quot;" command="SELECT * FROM [Baukon]"/>
  </connection>
  <connection id="2" xr16:uid="{5FB1A2F5-E93A-4E68-84D0-3E454FE145B0}" keepAlive="1" name="Abfrage - Baukon_alle(1)" description="Verbindung mit der Abfrage 'Baukon_alle' in der Arbeitsmappe." type="5" refreshedVersion="8" background="1" saveData="1">
    <dbPr connection="Provider=Microsoft.Mashup.OleDb.1;Data Source=$Workbook$;Location=Baukon_alle;Extended Properties=&quot;&quot;" command="SELECT * FROM [Baukon_alle]"/>
  </connection>
  <connection id="3" xr16:uid="{8A2DDB59-5528-4AE9-8848-3E97B69324A3}" name="Abfrage - Baukon_alle_A1-A3_results" description="Verbindung mit der Abfrage 'Baukon_alle_A1-A3_results' in der Arbeitsmappe." type="100" refreshedVersion="8" minRefreshableVersion="5" refreshOnLoad="1" saveData="1">
    <extLst>
      <ext xmlns:x15="http://schemas.microsoft.com/office/spreadsheetml/2010/11/main" uri="{DE250136-89BD-433C-8126-D09CA5730AF9}">
        <x15:connection id="365eae6e-8b98-4514-99ea-4f52f932278f"/>
      </ext>
    </extLst>
  </connection>
  <connection id="4" xr16:uid="{00E3E3B7-D8F6-4AB3-B2AB-D8A895EE29D5}" keepAlive="1" name="Abfrage - Baukon_alle_A1-A3+A4_results" description="Verbindung mit der Abfrage 'Baukon_alle_A1-A3+A4_results' in der Arbeitsmappe." type="5" refreshedVersion="8" background="1" saveData="1">
    <dbPr connection="Provider=Microsoft.Mashup.OleDb.1;Data Source=$Workbook$;Location=Baukon_alle_A1-A3+A4_results;Extended Properties=&quot;&quot;" command="SELECT * FROM [Baukon_alle_A1-A3+A4_results]"/>
  </connection>
  <connection id="5" xr16:uid="{4AD05593-4930-4906-B311-2A077DE6FEE2}" name="Abfrage - Baukon_alle_A4_join" description="Verbindung mit der Abfrage 'Baukon_alle_A4_join' in der Arbeitsmappe." type="100" refreshedVersion="8" minRefreshableVersion="5">
    <extLst>
      <ext xmlns:x15="http://schemas.microsoft.com/office/spreadsheetml/2010/11/main" uri="{DE250136-89BD-433C-8126-D09CA5730AF9}">
        <x15:connection id="574b84cd-da94-403b-88a2-e25deb398374"/>
      </ext>
    </extLst>
  </connection>
  <connection id="6" xr16:uid="{2B455886-B26B-4272-A324-CA2D8E6F2437}" keepAlive="1" name="Abfrage - Baukon_alle_A4_results" description="Verbindung mit der Abfrage 'Baukon_alle_A4_results' in der Arbeitsmappe." type="5" refreshedVersion="0" background="1">
    <dbPr connection="Provider=Microsoft.Mashup.OleDb.1;Data Source=$Workbook$;Location=Baukon_alle_A4_results;Extended Properties=&quot;&quot;" command="SELECT * FROM [Baukon_alle_A4_results]"/>
  </connection>
  <connection id="7" xr16:uid="{6CC4F9CF-72DD-4B06-80A8-2AA82F2D3A9D}" keepAlive="1" name="Abfrage - Baukon_neu" description="Verbindung mit der Abfrage 'Baukon_neu' in der Arbeitsmappe." type="5" refreshedVersion="0" background="1">
    <dbPr connection="Provider=Microsoft.Mashup.OleDb.1;Data Source=$Workbook$;Location=Baukon_neu;Extended Properties=&quot;&quot;" command="SELECT * FROM [Baukon_neu]"/>
  </connection>
  <connection id="8" xr16:uid="{07ADAF36-AF61-4683-94AF-97E80BD88647}" keepAlive="1" name="Abfrage - Transport" description="Verbindung mit der Abfrage 'Transport' in der Arbeitsmappe." type="5" refreshedVersion="0" background="1">
    <dbPr connection="Provider=Microsoft.Mashup.OleDb.1;Data Source=$Workbook$;Location=Transport;Extended Properties=&quot;&quot;" command="SELECT * FROM [Transport]"/>
  </connection>
  <connection id="9" xr16:uid="{DDD271F7-0A7B-4162-8A9F-A622CB589F1C}" keepAlive="1" name="ModelConnection_ExterneDaten_1" description="Datenmodell" type="5" refreshedVersion="8" minRefreshableVersion="5" saveData="1">
    <dbPr connection="Data Model Connection" command="Baukon_alle_A1-A3_results" commandType="3"/>
    <extLst>
      <ext xmlns:x15="http://schemas.microsoft.com/office/spreadsheetml/2010/11/main" uri="{DE250136-89BD-433C-8126-D09CA5730AF9}">
        <x15:connection id="" model="1"/>
      </ext>
    </extLst>
  </connection>
  <connection id="10" xr16:uid="{EBEAAFFF-3C2B-4030-9077-ACAE8E9EE143}" keepAlive="1" name="ModelConnection_ExterneDaten_3" description="Datenmodell" type="5" refreshedVersion="8" minRefreshableVersion="5" saveData="1">
    <dbPr connection="Data Model Connection" command="Baukon_alle_A4_join" commandType="3"/>
    <extLst>
      <ext xmlns:x15="http://schemas.microsoft.com/office/spreadsheetml/2010/11/main" uri="{DE250136-89BD-433C-8126-D09CA5730AF9}">
        <x15:connection id="" model="1"/>
      </ext>
    </extLst>
  </connection>
  <connection id="11" xr16:uid="{B1BFDDD2-E1D3-43D0-B1DB-84767431E0BE}" keepAlive="1" name="ThisWorkbookDataModel" description="Datenmodell" type="5" refreshedVersion="8"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s>
</file>

<file path=xl/sharedStrings.xml><?xml version="1.0" encoding="utf-8"?>
<sst xmlns="http://schemas.openxmlformats.org/spreadsheetml/2006/main" count="5388" uniqueCount="508">
  <si>
    <t>Projektkontext</t>
  </si>
  <si>
    <t>Zielsetzung</t>
  </si>
  <si>
    <t>Umsetzung</t>
  </si>
  <si>
    <t>Erstellung von technischen Leitlinien für die kreislauforientierte Planung und das ressourcenschonende Bauen (Schwerpunkt Hochbau) in Hessen | LeitRess</t>
  </si>
  <si>
    <t>SURAP GmbH</t>
  </si>
  <si>
    <t>Ausgabe und Version</t>
  </si>
  <si>
    <t>2025_i4_s8</t>
  </si>
  <si>
    <t>Dämmstoffvarianten</t>
  </si>
  <si>
    <t>Variante</t>
  </si>
  <si>
    <t>Differenz Dämmstoffedicke zu Referenz [mm]</t>
  </si>
  <si>
    <t>Referenz</t>
  </si>
  <si>
    <t>min</t>
  </si>
  <si>
    <t>max</t>
  </si>
  <si>
    <t>Ökobilanz-Systemgrenzen</t>
  </si>
  <si>
    <t>Für Mehrfachauswahl STRG Taste gedrückt halten</t>
  </si>
  <si>
    <t>A1-A3</t>
  </si>
  <si>
    <t>Herstellungsphase</t>
  </si>
  <si>
    <t>A4</t>
  </si>
  <si>
    <t>Transport zur Baustelle</t>
  </si>
  <si>
    <t>Hintergrund und Ausgabe Tabellen</t>
  </si>
  <si>
    <t>Projekt</t>
  </si>
  <si>
    <t>LeitRess</t>
  </si>
  <si>
    <t>Umweltwirkungen</t>
  </si>
  <si>
    <t>Normierte Umweltwirkungen[-]</t>
  </si>
  <si>
    <t>Klima-Fußabdruck GWP [kg CO2-Äqu./m²]</t>
  </si>
  <si>
    <t>Tabelle 6: Material-Fußabdruck RMI [kg Primärrohstoffe/m²]</t>
  </si>
  <si>
    <t>Wasser-Fußabdruck WDP [m³ weighted water/m²]</t>
  </si>
  <si>
    <t>Energie-Fußabdruck PENRT [MJ/m²]</t>
  </si>
  <si>
    <t>Indikator</t>
  </si>
  <si>
    <t>Kategorie</t>
  </si>
  <si>
    <t>Kurzzeichen</t>
  </si>
  <si>
    <t>Einheit</t>
  </si>
  <si>
    <t>Modell</t>
  </si>
  <si>
    <t>Globales Erwärmungspotenzial</t>
  </si>
  <si>
    <t>Klima</t>
  </si>
  <si>
    <t>GWP</t>
  </si>
  <si>
    <t>kg CO2 / m² Bauteil</t>
  </si>
  <si>
    <t>Basisdaten-Modell von 100Jahren des IPCC (Weltklimarat), beruhend auf IPCC2013</t>
  </si>
  <si>
    <t>Total nicht erneuerbare Energie</t>
  </si>
  <si>
    <t>Energie</t>
  </si>
  <si>
    <t>PENRT</t>
  </si>
  <si>
    <t>MJ / m² Bauteil</t>
  </si>
  <si>
    <t>-</t>
  </si>
  <si>
    <t>Row Labels</t>
  </si>
  <si>
    <t xml:space="preserve">  Normierter Wert min</t>
  </si>
  <si>
    <t xml:space="preserve">  Normierter Wert Referenz</t>
  </si>
  <si>
    <t xml:space="preserve">  Normierter Wert max</t>
  </si>
  <si>
    <t>Column Labels</t>
  </si>
  <si>
    <t>Primärrohstoffaufwand</t>
  </si>
  <si>
    <t>Material</t>
  </si>
  <si>
    <t>RMI</t>
  </si>
  <si>
    <t>kg Primärrohstoffe / m² Bauteil</t>
  </si>
  <si>
    <t>Material-Fußabdruck Indikator nach Mostert &amp; Bringezu, 2019</t>
  </si>
  <si>
    <t>320 Gründung</t>
  </si>
  <si>
    <t>Total   GWP min</t>
  </si>
  <si>
    <t>Total   GWP Referenz</t>
  </si>
  <si>
    <t>Total   GWP max</t>
  </si>
  <si>
    <t>Total   RMI min</t>
  </si>
  <si>
    <t>Total   RMI Referenz</t>
  </si>
  <si>
    <t>Total   RMI max</t>
  </si>
  <si>
    <t>Total   WDP  min</t>
  </si>
  <si>
    <t>Total   WDP  Referenz</t>
  </si>
  <si>
    <t>Total   WDP  max</t>
  </si>
  <si>
    <t>Total   PENRT  min</t>
  </si>
  <si>
    <t>Total   PENRT Referenz</t>
  </si>
  <si>
    <t>Total   PENRT max</t>
  </si>
  <si>
    <t>Wasserentzugspotenzial</t>
  </si>
  <si>
    <t>Wasser</t>
  </si>
  <si>
    <t>WDP</t>
  </si>
  <si>
    <t>m³ gewichtetes Wasser / m² Bauteil</t>
  </si>
  <si>
    <t>Available WAter REmaining (AWARE) Boulay et al., 2016</t>
  </si>
  <si>
    <t>1. Stahlbeton-Bodenplatte | Referenz XPS</t>
  </si>
  <si>
    <t xml:space="preserve">  GWP min</t>
  </si>
  <si>
    <t xml:space="preserve">  GWP Referenz</t>
  </si>
  <si>
    <t xml:space="preserve">  GWP max</t>
  </si>
  <si>
    <t xml:space="preserve">  RMI min</t>
  </si>
  <si>
    <t xml:space="preserve">  RMI Referenz</t>
  </si>
  <si>
    <t xml:space="preserve">  RMI max</t>
  </si>
  <si>
    <t xml:space="preserve">  WDP  min</t>
  </si>
  <si>
    <t xml:space="preserve">  WDP  Referenz</t>
  </si>
  <si>
    <t xml:space="preserve">  WDP  max</t>
  </si>
  <si>
    <t xml:space="preserve">  PENRT  min</t>
  </si>
  <si>
    <t xml:space="preserve">  PENRT Referenz</t>
  </si>
  <si>
    <t xml:space="preserve">  PENRT max</t>
  </si>
  <si>
    <t>Normierter Wert, dimensionslos</t>
  </si>
  <si>
    <t>Gesamt</t>
  </si>
  <si>
    <t>2. Stahlbeton (R-Beton) - Bodenplatte | Referenz XPS</t>
  </si>
  <si>
    <t>330 Außenwände</t>
  </si>
  <si>
    <t>LeitRess Baukonstruktionen - Normalisierungsfaktoren, Bezugsjahr 2018</t>
  </si>
  <si>
    <t>0. Pfosten/Riegelsystem aus Aluminium | Referenz</t>
  </si>
  <si>
    <t>1. Mauerwerk, einschalig - Kalksandstein (KS) mit Dämmung | Referenz EPS</t>
  </si>
  <si>
    <t>Referenzwert</t>
  </si>
  <si>
    <t>Quelle</t>
  </si>
  <si>
    <t>2. Mauerwerk, einschalig - Kalksandstein (KS) mit Dämmung | Hanf</t>
  </si>
  <si>
    <t>capita*Jahr DE</t>
  </si>
  <si>
    <t>https://www.umweltbundesamt.de/sites/default/files/medien/3521/publikationen/deuress18_de_bericht_web_f.pdf</t>
  </si>
  <si>
    <t>3. Mauerwerk, einschalig - Kalksandstein (KS) mit Dämmung | Zellulose</t>
  </si>
  <si>
    <t>4. Mauerwerk, einschalig - Hochlochziegel (HLZ) | Referenz MiWo</t>
  </si>
  <si>
    <t>https://ec.europa.eu/eurostat/databrowser/view/env_ac_rme/</t>
  </si>
  <si>
    <t>5. Mauerwerk, einschalig - Mauerziegel (gefüllt) | Referenz</t>
  </si>
  <si>
    <t>https://doi.org/10.1111/jiec.12454</t>
  </si>
  <si>
    <t>6. Mauerwerk, zweischalig - Vollziegel (VZ) | Referenz MiWo</t>
  </si>
  <si>
    <t>7. Holzrahmenbau - Holzständerbauweise (HSB) | Referenz MiWo</t>
  </si>
  <si>
    <t>8. Holzrahmenbau - Holzständerbauweise (HSB) | Stroh</t>
  </si>
  <si>
    <t>Tabelle 3: Bauteile, Massen</t>
  </si>
  <si>
    <t>9. Stampflehmwand | -</t>
  </si>
  <si>
    <t>1. Außenwand Beton | konv. Beton</t>
  </si>
  <si>
    <t>Modul</t>
  </si>
  <si>
    <t>(All)</t>
  </si>
  <si>
    <t>2. Außenwand Beton | R-Beton</t>
  </si>
  <si>
    <t>350 Geschossdecken</t>
  </si>
  <si>
    <t xml:space="preserve">  Masse [kg/m²] min</t>
  </si>
  <si>
    <t xml:space="preserve">  Masse [kg/m²] Referenz</t>
  </si>
  <si>
    <t xml:space="preserve">  Masse [kg/m²] max</t>
  </si>
  <si>
    <t>1. Stahlbetondecke | Referenz EPS</t>
  </si>
  <si>
    <t>2. Metalldecke | Referenz XPS</t>
  </si>
  <si>
    <t>3. Holzdecke | Referenz MiWo</t>
  </si>
  <si>
    <t>360 Dach</t>
  </si>
  <si>
    <t>1. Schrägdach - Holzkonstruktion | Referenz MiWo</t>
  </si>
  <si>
    <t>2. Flachdach - Stahlbeton | Referenz PIR</t>
  </si>
  <si>
    <t>Sonstige</t>
  </si>
  <si>
    <t>1. Heizung | Neu</t>
  </si>
  <si>
    <t>2. Heizung | ReUse</t>
  </si>
  <si>
    <t>340 Innenwände</t>
  </si>
  <si>
    <t>1. Innenwand | Trockenbau</t>
  </si>
  <si>
    <t>1. Test | Trockenbau</t>
  </si>
  <si>
    <t>LeitRess Baustruktionen - Eingabe</t>
  </si>
  <si>
    <t>Legende Feldtypen</t>
  </si>
  <si>
    <t>Drop-Down Feld</t>
  </si>
  <si>
    <t>Eingabefeld, erforderlich</t>
  </si>
  <si>
    <t>Eingabefeld, optional</t>
  </si>
  <si>
    <t>Formel-Feld, nicht editierbar</t>
  </si>
  <si>
    <t>Erläuterung der Felder bei Auswahl der Spaltenüberschrift</t>
  </si>
  <si>
    <t>Regieanweisungen und Formeln</t>
  </si>
  <si>
    <t>Beschreibung</t>
  </si>
  <si>
    <t>Variante der Baukonstruktion</t>
  </si>
  <si>
    <t>Variantenbezeichnung</t>
  </si>
  <si>
    <t>Text Kombination</t>
  </si>
  <si>
    <t>Prüft Verwendung der ID in Tabelle "Baukonstruktionen_alle (ausgeblendet)"</t>
  </si>
  <si>
    <t>Bezeichnung der Bauteilschicht</t>
  </si>
  <si>
    <t>Auswahl aus Liste</t>
  </si>
  <si>
    <t>Regelsetzung für Variantenberechnung</t>
  </si>
  <si>
    <t>Manuelle Eingabe</t>
  </si>
  <si>
    <t>Varianten - Variation der Dämmstoffdicke, wenn Regelfeld = ja</t>
  </si>
  <si>
    <t>wie vorherige Spalte</t>
  </si>
  <si>
    <t>Manuelle Eingabe, Wert zwischen 0% und 100%, Standard: 100%</t>
  </si>
  <si>
    <t>Verwendete Formel</t>
  </si>
  <si>
    <t>verknüpft mit Materialname</t>
  </si>
  <si>
    <t>verknüpft mit LCA Datensatz, Formel</t>
  </si>
  <si>
    <t>Formel</t>
  </si>
  <si>
    <t>"[@[Variante Nr]]&amp;". "&amp;[@[Name Baukonstruktion]]&amp;" | " &amp;[@[Variante Name]]"</t>
  </si>
  <si>
    <t>Tabelle "Materialdaten"</t>
  </si>
  <si>
    <t>Auswahl "ja", "nein"</t>
  </si>
  <si>
    <t>Variantenbezeichnung aus Kopfzeile, Dämmstoffdicken-Variation aus Tabelle "Dämmstoffvarianten"</t>
  </si>
  <si>
    <t xml:space="preserve"> </t>
  </si>
  <si>
    <t>"[@[Dicke '[mm'] [Variante V]]/1000*[@[Flächenanteil '[%']]]"</t>
  </si>
  <si>
    <t>"WENNFEHLER(
    WENN([@[Länge '[m']]]*[@[Längengewicht '[kg/m']]]&lt;&gt;0; [@[Länge '[m']]]*[@[Längengewicht '[kg/m']]];
       WENN( [@[Volumen '[m³/m²'] Referenz]]*[@[Rohdichte '[kg/m³']]]&lt;&gt;0;
        [@[Volumen '[m³/m²'] Referenz]]*[@[Rohdichte '[kg/m³']]];
                [@[Flächenanteil '[%']]]*[@[Flächengewicht '[kg/m²']]]));"")"</t>
  </si>
  <si>
    <t>Wie vorherige, Dicke n1</t>
  </si>
  <si>
    <t>Wie vorherige, Dicke n2</t>
  </si>
  <si>
    <t>Wenn Eingabe Rohdichte = 0 oder leer, dann Rohdichte aus Materialdaten</t>
  </si>
  <si>
    <t>Wenn Eingabe Flächengewicht = 0 oder leer, dann Flächengewicht aus Materialdaten</t>
  </si>
  <si>
    <t>…</t>
  </si>
  <si>
    <t>Dicke/Lambda</t>
  </si>
  <si>
    <t>Datentyp</t>
  </si>
  <si>
    <t>Text</t>
  </si>
  <si>
    <t>Ganzzahl</t>
  </si>
  <si>
    <t>Listenauswahl</t>
  </si>
  <si>
    <t>Dezimalzahl</t>
  </si>
  <si>
    <t>Prozentzahl</t>
  </si>
  <si>
    <t>Eingabetabelle Baukonstruktionen</t>
  </si>
  <si>
    <t>Kostengruppe</t>
  </si>
  <si>
    <t>Name Baukonstruktion</t>
  </si>
  <si>
    <t>Variante Nummer</t>
  </si>
  <si>
    <t>Variante Name</t>
  </si>
  <si>
    <t>ID Baukonstruktion</t>
  </si>
  <si>
    <t>Prüfung id</t>
  </si>
  <si>
    <t>Schicht</t>
  </si>
  <si>
    <t>Produkt</t>
  </si>
  <si>
    <t>ist Dämmstoff?</t>
  </si>
  <si>
    <t>Dicke [mm] Referenz</t>
  </si>
  <si>
    <t>Dicke [mm] min</t>
  </si>
  <si>
    <t>Dicke [mm] max</t>
  </si>
  <si>
    <t>Flächenanteil [%]</t>
  </si>
  <si>
    <t>Länge [m/m²]</t>
  </si>
  <si>
    <t>Volumen [m³/m²] Referenz</t>
  </si>
  <si>
    <t>Volumen [m³/m²] min</t>
  </si>
  <si>
    <t>Volumen [m³/m²] max</t>
  </si>
  <si>
    <t>Kommentar</t>
  </si>
  <si>
    <t>LCA Datensatz</t>
  </si>
  <si>
    <t>Rohdichte [kg/m³]</t>
  </si>
  <si>
    <t>Flächengewicht [kg/m²]</t>
  </si>
  <si>
    <t>Längengewicht [kg/m]</t>
  </si>
  <si>
    <t>lambda_[W/mK]</t>
  </si>
  <si>
    <t xml:space="preserve">Rohdichte [kg/m³], Eingabe </t>
  </si>
  <si>
    <t xml:space="preserve">Flächengewicht [kg/m²], Eingabe </t>
  </si>
  <si>
    <t xml:space="preserve">Längengewicht [kg/m], Eingabe </t>
  </si>
  <si>
    <t xml:space="preserve">lambda_[W/mK], Eingabe </t>
  </si>
  <si>
    <t>Masse [kg/m²] Referenz</t>
  </si>
  <si>
    <t>Masse [kg/m²] min</t>
  </si>
  <si>
    <t>Masse [kg/m²] max</t>
  </si>
  <si>
    <t>R [m²K/W] Referenz</t>
  </si>
  <si>
    <t>RMI [kg Primärrohstoffe/m²] Referenz</t>
  </si>
  <si>
    <t>RMI [kg Primärrohstoffe/m²] min</t>
  </si>
  <si>
    <t>RMI [kg Primärrohstoffe/m²] max</t>
  </si>
  <si>
    <t>TMR [kg Gesamtmaterialaufwand/m²] Referenz</t>
  </si>
  <si>
    <t>TMR [kg Gesamtmaterialaufwand/m²] min</t>
  </si>
  <si>
    <t>TMR [kg Gesamtmaterialaufwand/m²] max</t>
  </si>
  <si>
    <t>GWP [kg CO2-Äqu./m²] Referenz</t>
  </si>
  <si>
    <t>GWP [kg CO2-Äqu./m²] min</t>
  </si>
  <si>
    <t>GWP [kg CO2-Äqu./m²] max</t>
  </si>
  <si>
    <t>PENRT [MJ/m²] Referenz</t>
  </si>
  <si>
    <t>PENRT [MJ/m²] min</t>
  </si>
  <si>
    <t>PENRT [MJ/m²] max</t>
  </si>
  <si>
    <t>PERT [MJ/m²] Referenz</t>
  </si>
  <si>
    <t>PERT [MJ/m²] min</t>
  </si>
  <si>
    <t>PERT [MJ/m²] max</t>
  </si>
  <si>
    <t>WDP [m² weighted water/m²] Referenz</t>
  </si>
  <si>
    <t>WDP [m² weighted water/m²] min</t>
  </si>
  <si>
    <t>WDP [m² weighted water/m²] max</t>
  </si>
  <si>
    <t>Normierter Wert Referenz</t>
  </si>
  <si>
    <t>Normierter Wert min</t>
  </si>
  <si>
    <t>Normierter Wert max</t>
  </si>
  <si>
    <t>Außenwand Beton</t>
  </si>
  <si>
    <t>konv. Beton</t>
  </si>
  <si>
    <t>Beton C20/25</t>
  </si>
  <si>
    <t>nein</t>
  </si>
  <si>
    <t> </t>
  </si>
  <si>
    <t>Mineralwolle</t>
  </si>
  <si>
    <t>ja</t>
  </si>
  <si>
    <t>Bewehrungsstahl</t>
  </si>
  <si>
    <t>R-Beton</t>
  </si>
  <si>
    <t>R-Beton C20/25 mit 25% rezyklierter Gesteinskörnung</t>
  </si>
  <si>
    <t>Heizung</t>
  </si>
  <si>
    <t>Neu</t>
  </si>
  <si>
    <t>Heizkörper, 60 cm Höhe</t>
  </si>
  <si>
    <t>ReUse</t>
  </si>
  <si>
    <t>Heizkörper, 60 cm Höhe wiederverwendet</t>
  </si>
  <si>
    <t>Innenwand</t>
  </si>
  <si>
    <t>Trockenbau</t>
  </si>
  <si>
    <t>Verkleidung</t>
  </si>
  <si>
    <t>Gipskartonplatte (12,5 mm)</t>
  </si>
  <si>
    <t>Dämmung</t>
  </si>
  <si>
    <t>Ständerwerk</t>
  </si>
  <si>
    <t>Konstruktionsvollholz</t>
  </si>
  <si>
    <t>Bitte wählen</t>
  </si>
  <si>
    <t>LeitRess Eingabe Transport</t>
  </si>
  <si>
    <t>Eingabetabelle Transportparameter</t>
  </si>
  <si>
    <t>Datensatz verwendet</t>
  </si>
  <si>
    <t>Transportdistanz [km] Voreinstellung</t>
  </si>
  <si>
    <t>Transportdistanz [km] Eingabe</t>
  </si>
  <si>
    <t>Transport-Modus</t>
  </si>
  <si>
    <t>1. Beschichtungen: Putze, Mörtel, Farben, Lacke</t>
  </si>
  <si>
    <t>Kalkputz</t>
  </si>
  <si>
    <t>LKW</t>
  </si>
  <si>
    <t>Lehmputz</t>
  </si>
  <si>
    <t>Wandfarbe innen</t>
  </si>
  <si>
    <t>Zementestrich</t>
  </si>
  <si>
    <t>2. Beton und Betonelemente</t>
  </si>
  <si>
    <t>Beton C30/37</t>
  </si>
  <si>
    <t>R-Beton C20/25 mit 45% rezyklierter Gesteinskörnung</t>
  </si>
  <si>
    <t>3. Bauplatten</t>
  </si>
  <si>
    <t>Gipskartonplatte (gelocht, 12,5 mm)</t>
  </si>
  <si>
    <t>Trockenestrich (Gipsfaserplatte, 25 mm)</t>
  </si>
  <si>
    <t>4. Mauerwerk, einschließlich Mörtelfugen</t>
  </si>
  <si>
    <t>Kalksandstein</t>
  </si>
  <si>
    <t>Mauerziegel (mit Dämmstoff gefüllt)</t>
  </si>
  <si>
    <t>Mauerziegel, ungefüllt</t>
  </si>
  <si>
    <t>Vormauerziegel</t>
  </si>
  <si>
    <t>5. Wärmedämmstoffe- und Systeme</t>
  </si>
  <si>
    <t>Expandiertes Polystyrol (EPS)</t>
  </si>
  <si>
    <t>Extrudierter Polystyrol Dämmstoff (XPS)</t>
  </si>
  <si>
    <t>Hanfvlies</t>
  </si>
  <si>
    <t>Holzfaserplatte</t>
  </si>
  <si>
    <t>PIR Hartschaum</t>
  </si>
  <si>
    <t>PU-Schaum</t>
  </si>
  <si>
    <t>Stroh</t>
  </si>
  <si>
    <t>Zellulosefaserplatten</t>
  </si>
  <si>
    <t>6. Holz- und Holzwerkstoffe</t>
  </si>
  <si>
    <t>7. Beläge, Abdichtstoffe, Folien und Vliese</t>
  </si>
  <si>
    <t>Bitumenbahnn</t>
  </si>
  <si>
    <t>EPDM Dachbahn</t>
  </si>
  <si>
    <t>Linoleum</t>
  </si>
  <si>
    <t>PE Folie</t>
  </si>
  <si>
    <t>Tondachziegel</t>
  </si>
  <si>
    <t>Unterspannbahn PP</t>
  </si>
  <si>
    <t>8. Sonstige</t>
  </si>
  <si>
    <t>Feuerverzinktes Stahlblech</t>
  </si>
  <si>
    <t>Kies</t>
  </si>
  <si>
    <t>Lehmbauplatte (Dicke 2,0 cm)</t>
  </si>
  <si>
    <t>Lehmstein</t>
  </si>
  <si>
    <t>Stahlprofil</t>
  </si>
  <si>
    <t>Stahlprofil, wiederverwendet</t>
  </si>
  <si>
    <t>Stampflehmwand</t>
  </si>
  <si>
    <t>9. Fenster, Türen und Vorhangfassaden</t>
  </si>
  <si>
    <t>Dreifachverglasung</t>
  </si>
  <si>
    <t>Holz Fensterrahmen</t>
  </si>
  <si>
    <t>Isolierglas 2-Scheiben</t>
  </si>
  <si>
    <t>Aluminium Fensterrahmen</t>
  </si>
  <si>
    <t>PVC Fensterrahmen</t>
  </si>
  <si>
    <t>A1-A3 + A4</t>
  </si>
  <si>
    <t>Transportdistanz.Voreinstellung</t>
  </si>
  <si>
    <t>Transport.Transport-Modus</t>
  </si>
  <si>
    <t>Stahlbeton (R-Beton) - Bodenplatte</t>
  </si>
  <si>
    <t>Referenz XPS</t>
  </si>
  <si>
    <t>Sauberkeitsschicht</t>
  </si>
  <si>
    <t>50</t>
  </si>
  <si>
    <t>Stahlbeton-Bodenplatte</t>
  </si>
  <si>
    <t>Beton, C20/25</t>
  </si>
  <si>
    <t>Mauerwerk, einschalig - Kalksandstein (KS) mit Dämmung</t>
  </si>
  <si>
    <t>Referenz EPS</t>
  </si>
  <si>
    <t>Putz</t>
  </si>
  <si>
    <t>Mauerwerk, einschalig - Hochlochziegel (HLZ)</t>
  </si>
  <si>
    <t>Referenz MiWo</t>
  </si>
  <si>
    <t>Hanf</t>
  </si>
  <si>
    <t>Zellulose</t>
  </si>
  <si>
    <t>Mauerwerk, einschalig - Mauerziegel (gefüllt)</t>
  </si>
  <si>
    <t>Mauerwerk, zweischalig - Vollziegel (VZ)</t>
  </si>
  <si>
    <t>Trennlage</t>
  </si>
  <si>
    <t>Holzdecke</t>
  </si>
  <si>
    <t>Dampfbremse</t>
  </si>
  <si>
    <t>Wärmedämmung, Bodenplatte, XPS</t>
  </si>
  <si>
    <t>Estrich</t>
  </si>
  <si>
    <t>Bewehrung</t>
  </si>
  <si>
    <t>Abdichtung</t>
  </si>
  <si>
    <t>Gipskartonplatte</t>
  </si>
  <si>
    <t>Holzrahmenbau - Holzständerbauweise (HSB)</t>
  </si>
  <si>
    <t>Metalldecke</t>
  </si>
  <si>
    <t>Gipskartonlochplatte</t>
  </si>
  <si>
    <t>Hochlochziegel</t>
  </si>
  <si>
    <t>Dämmung EPS, Außenwand</t>
  </si>
  <si>
    <t>Vollziegel</t>
  </si>
  <si>
    <t>Dämmung MW, Außenwand</t>
  </si>
  <si>
    <t>Dämmung, Holzdecke</t>
  </si>
  <si>
    <t>Dämmung Hanf, Außenwand</t>
  </si>
  <si>
    <t>Wandbauplatte</t>
  </si>
  <si>
    <t>Stahl verzinkt</t>
  </si>
  <si>
    <t>Pfosten/Riegelsystem aus Aluminium</t>
  </si>
  <si>
    <t>Dämmung, Metalldecke</t>
  </si>
  <si>
    <t>Gipskartonfaserplatte</t>
  </si>
  <si>
    <t>Stahlbetondecke</t>
  </si>
  <si>
    <t>Bodenbelag</t>
  </si>
  <si>
    <t>Dämmung, Betondecke</t>
  </si>
  <si>
    <t>Flachdach - Stahlbeton</t>
  </si>
  <si>
    <t>Referenz PIR</t>
  </si>
  <si>
    <t>Dämmung. Flachdach</t>
  </si>
  <si>
    <t>Abdichtungsbahn</t>
  </si>
  <si>
    <t>Schwere Schutzschicht</t>
  </si>
  <si>
    <t>Schrägdach - Holzkonstruktion</t>
  </si>
  <si>
    <t>Dämmung, Schrägdach</t>
  </si>
  <si>
    <t>Unterspannbahn</t>
  </si>
  <si>
    <t>Dachziegel</t>
  </si>
  <si>
    <t>R-Beton, C20/25</t>
  </si>
  <si>
    <t>100</t>
  </si>
  <si>
    <t>Aluminiumpfosten/-Riegel</t>
  </si>
  <si>
    <t>Pfosten/Riegel aus Aluminium</t>
  </si>
  <si>
    <t>200</t>
  </si>
  <si>
    <t>Material ist Dämmstoff?</t>
  </si>
  <si>
    <t>Länge [m]</t>
  </si>
  <si>
    <t>Rohdichte [kg/m³], Eingabe</t>
  </si>
  <si>
    <t>Flächengewicht [kg/m²], Eingabe</t>
  </si>
  <si>
    <t>Längengewicht [kg/m], Eingabe</t>
  </si>
  <si>
    <t>lambda_[W/mK], Eingabe</t>
  </si>
  <si>
    <t>2</t>
  </si>
  <si>
    <t>9702d9ab-2af2-4fdc-9d99-225583a9ffb7</t>
  </si>
  <si>
    <t>2360</t>
  </si>
  <si>
    <t>0</t>
  </si>
  <si>
    <t>99792cbc-c5f4-4d2d-bc9e-3790509891a0</t>
  </si>
  <si>
    <t>1390</t>
  </si>
  <si>
    <t>0,2</t>
  </si>
  <si>
    <t>43e99b8c-90d8-4fcd-90ce-342fb0b7366e</t>
  </si>
  <si>
    <t>32</t>
  </si>
  <si>
    <t>ded82f5b-0581-4d04-ad83-f9cebaa9a04b</t>
  </si>
  <si>
    <t>2400</t>
  </si>
  <si>
    <t>73d1c1b7-d509-44c8-8518-848babdd7c01</t>
  </si>
  <si>
    <t>1200</t>
  </si>
  <si>
    <t>5</t>
  </si>
  <si>
    <t>0973f221-2284-4892-ae3d-1b8c2986b6dd</t>
  </si>
  <si>
    <t>1</t>
  </si>
  <si>
    <t>EPS, 0,035 W/Km</t>
  </si>
  <si>
    <t>1be79c83-2ab7-4d30-a44b-8f463376e51e</t>
  </si>
  <si>
    <t>25</t>
  </si>
  <si>
    <t>07f3cd13-22bb-494d-803a-f0a440fbce7a</t>
  </si>
  <si>
    <t>1050</t>
  </si>
  <si>
    <t>1800 kg/m³</t>
  </si>
  <si>
    <t>29e6c6cf-0552-4e4b-85c7-26a68a625252</t>
  </si>
  <si>
    <t>2000</t>
  </si>
  <si>
    <t>4</t>
  </si>
  <si>
    <t>f8afef87-5de3-4996-838c-1f2af9ef81df</t>
  </si>
  <si>
    <t>46,25</t>
  </si>
  <si>
    <t>1200 kg/m³</t>
  </si>
  <si>
    <t>08dd0308-eebf-4db1-82ee-b340d070c9b9</t>
  </si>
  <si>
    <t>575</t>
  </si>
  <si>
    <t>07423e99-8c7c-4e93-8311-dcf7ae85c41d</t>
  </si>
  <si>
    <t>800</t>
  </si>
  <si>
    <t>10</t>
  </si>
  <si>
    <t>5ef0c519-f5b2-4d45-809d-5f417f90e90b</t>
  </si>
  <si>
    <t>38</t>
  </si>
  <si>
    <t>3</t>
  </si>
  <si>
    <t>cf963fcb-0e03-48c0-b501-ad0d1e3c22c0</t>
  </si>
  <si>
    <t>80</t>
  </si>
  <si>
    <t>Kalk-Zement-Kalkputz</t>
  </si>
  <si>
    <t>Poroton-T8-36,5-MW (650 kg /m³)</t>
  </si>
  <si>
    <t>5576bbd6-2ccf-4e79-aa8c-441e7aa428ee</t>
  </si>
  <si>
    <t>605</t>
  </si>
  <si>
    <t>6</t>
  </si>
  <si>
    <t>f74a19da-df9a-4462-a632-3b3dc83377b1</t>
  </si>
  <si>
    <t>1800</t>
  </si>
  <si>
    <t>7</t>
  </si>
  <si>
    <t>51a420d8-6366-4e14-83db-ecfe0721774d</t>
  </si>
  <si>
    <t>150,76</t>
  </si>
  <si>
    <t>8</t>
  </si>
  <si>
    <t>9</t>
  </si>
  <si>
    <t>59622fc0-d719-43bf-a16b-ae924ae0d276</t>
  </si>
  <si>
    <t>2-lagig</t>
  </si>
  <si>
    <t>35be6146-5a80-4a9e-a32d-5d05c03a8d5c</t>
  </si>
  <si>
    <t>207cde6a-73be-4ffb-972d-30d3d8619fc3</t>
  </si>
  <si>
    <t>8,5</t>
  </si>
  <si>
    <t>XPS</t>
  </si>
  <si>
    <t>a9a79b38-dc2c-4b51-a3cc-cf9fa0d299e7</t>
  </si>
  <si>
    <t>1180</t>
  </si>
  <si>
    <t>24,07</t>
  </si>
  <si>
    <t>56e977b3-d042-4843-b40d-3a33dbb5a555</t>
  </si>
  <si>
    <t>2c076ee7-3853-4f69-9bf5-8ec265fa43e0</t>
  </si>
  <si>
    <t>30</t>
  </si>
  <si>
    <t>341e2e42-dab2-427b-86f6-a80c701b6071</t>
  </si>
  <si>
    <t>1150</t>
  </si>
  <si>
    <t>3ce61a4e-4d91-4b1d-b675-276be05b9225</t>
  </si>
  <si>
    <t>1850</t>
  </si>
  <si>
    <t>deb7fe73-3eb8-4f80-937b-7ce3a0a977ed</t>
  </si>
  <si>
    <t>0,15</t>
  </si>
  <si>
    <t>826fa2c2-c691-4844-83d3-aea0e8a54bcd</t>
  </si>
  <si>
    <t>45</t>
  </si>
  <si>
    <t>8be785fa-5548-4ea5-a2d7-b962675b9eff</t>
  </si>
  <si>
    <t>0,032</t>
  </si>
  <si>
    <t>1562,5</t>
  </si>
  <si>
    <t>Achtung, id wird bereits verwendet</t>
  </si>
  <si>
    <t>e9ae96ee-ba8d-420d-9725-7c8abd06e082</t>
  </si>
  <si>
    <t>7850</t>
  </si>
  <si>
    <t>4005b170-75e3-411e-9896-74c61ecccd2a</t>
  </si>
  <si>
    <t>37,5</t>
  </si>
  <si>
    <t>4005b170-75e3-411e-9896-74c61ecrcd2a</t>
  </si>
  <si>
    <t>Bewehrungsstahl 45 kg/m³</t>
  </si>
  <si>
    <t>120x20 mm, Abstand 60 cm</t>
  </si>
  <si>
    <t>1a70d292-a82c-42a6-a378-d3cbd9a9af4e</t>
  </si>
  <si>
    <t>492,92</t>
  </si>
  <si>
    <t>240x20 mm Abstand 60 cm</t>
  </si>
  <si>
    <t>d2d1b29f-8dd7-4373-ab2a-de57acd51e72</t>
  </si>
  <si>
    <t>Abstand 60 cm</t>
  </si>
  <si>
    <t>1d2945e3-856e-4c5f-9894-e75bafad3a76</t>
  </si>
  <si>
    <t>5,7</t>
  </si>
  <si>
    <t>fa9f6670-3170-4597-92ab-a2fdec7f1451</t>
  </si>
  <si>
    <t>Balkenabstand 60 cm</t>
  </si>
  <si>
    <t>38051c22-fbd1-4b0e-944a-ae348b8c7695</t>
  </si>
  <si>
    <t>30,4</t>
  </si>
  <si>
    <t>Längengewicht händisch eingefügt</t>
  </si>
  <si>
    <t>15</t>
  </si>
  <si>
    <t>a758fb6a-7fb1-4cdc-b652-c42cf2f7632c</t>
  </si>
  <si>
    <t>Bewehrungsstahl 75 kg/m³</t>
  </si>
  <si>
    <t>Sparrenabstand 60 cm</t>
  </si>
  <si>
    <t>LeitRess Baukonstruktionen - Materialien</t>
  </si>
  <si>
    <t>Material_UUID</t>
  </si>
  <si>
    <t>Name</t>
  </si>
  <si>
    <t>RMI [kg Primärrohstoffe / kg]</t>
  </si>
  <si>
    <t>TMR [kg Gesamtmaterialaufwand/kg]</t>
  </si>
  <si>
    <t>WDP [m³ weighted water/kg]</t>
  </si>
  <si>
    <t>GWP [kg CO2-Äqu./kg]</t>
  </si>
  <si>
    <t>PENRT [MJ/kg]</t>
  </si>
  <si>
    <t>Längengewicht_[kg/m]</t>
  </si>
  <si>
    <t>Flächengewicht_[kg/m2]</t>
  </si>
  <si>
    <t>Rohdichte_[kg/m3]</t>
  </si>
  <si>
    <t>source</t>
  </si>
  <si>
    <t>SURAP, ecoinvent</t>
  </si>
  <si>
    <t>f766974a-94d1-4539-858f-164dcc76671c</t>
  </si>
  <si>
    <t>65af52ac-382b-4069-aafe-b044b3960356</t>
  </si>
  <si>
    <t>50c9e674-afd9-456c-9440-6506bec6d55b</t>
  </si>
  <si>
    <t>6aff7a60-d7cd-430e-8b15-02556b6f62ff</t>
  </si>
  <si>
    <t>606d978a-c44a-4b3e-8387-b1291b12e522</t>
  </si>
  <si>
    <t>0c5bf8e2-04b8-4bf2-aacd-f4805c5e321c</t>
  </si>
  <si>
    <t>318f08e0-1b04-49eb-ab16-531482cd75da</t>
  </si>
  <si>
    <t>d941f45e-1244-419c-a083-e4a49fb5498e</t>
  </si>
  <si>
    <t>aef3b8cd-c3b4-4e55-b2d1-0a3a131e7695</t>
  </si>
  <si>
    <t>91ea177a-e65a-4fe2-ac2d-2f378a03e168</t>
  </si>
  <si>
    <t>d00d22e6-4e00-4522-bf0d-6da954e9c0fa</t>
  </si>
  <si>
    <t>T. Transport</t>
  </si>
  <si>
    <t>Bahn</t>
  </si>
  <si>
    <t>f54f1e4c-07e2-4045-9f1b-fb28ef8adf13</t>
  </si>
  <si>
    <t>LeitRess Baukonstruktionen - Aufbau</t>
  </si>
  <si>
    <t>Laufzeit</t>
  </si>
  <si>
    <t>Legende</t>
  </si>
  <si>
    <t>Formel-Feld, nicht editieren</t>
  </si>
  <si>
    <t>Regeianweisungen und Formeln</t>
  </si>
  <si>
    <t>Variante der Baukonstruktion (Nummerierung jeder Kostengruppe beginnt bei 1, bestimmt Reihenfolge der Anzeige in Pivot Tabelle</t>
  </si>
  <si>
    <t xml:space="preserve">String Kombination </t>
  </si>
  <si>
    <t>Informativ</t>
  </si>
  <si>
    <t>Verknüpft mit Materialname</t>
  </si>
  <si>
    <t>verknüpft mit LCA Datensatz, editierbar</t>
  </si>
  <si>
    <t>Formel ID: "[@[Variante Nr]]&amp;". "&amp;[@[Name Baukonstruktion]]&amp;" | " &amp;[@[Variante Name]]"</t>
  </si>
  <si>
    <t>4,5</t>
  </si>
  <si>
    <t>12,5</t>
  </si>
  <si>
    <t>0,3</t>
  </si>
  <si>
    <t>2,5</t>
  </si>
  <si>
    <t>Kostengruppen</t>
  </si>
  <si>
    <t>Binäres Auswahlfeld</t>
  </si>
  <si>
    <t>Transport</t>
  </si>
  <si>
    <t>gefördert duch:</t>
  </si>
  <si>
    <t>Hessisches Ministerium für Landwirtschaft und Umwelt, Weinbau, Forsten, Jagd und Heimat</t>
  </si>
  <si>
    <t xml:space="preserve">Bewertung von Baukonstruktionen in frühen Planungsphasen bei z.B. vorliegendem Entwurf mit Kubatur. Diese Software befindet sich in der Weiterentwicklung. Wir freuen uns über Hinweise zu Fehlern oder Ideen für Verbesserungen. </t>
  </si>
  <si>
    <t>info@surap.de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</si>
</sst>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General\ &quot;Mon.&quot;"/>
    <numFmt numFmtId="165" formatCode="General\ &quot;VollzeitS&quot;"/>
    <numFmt numFmtId="166" formatCode="dd/mm/yy;@"/>
    <numFmt numFmtId="167" formatCode="0.0"/>
    <numFmt numFmtId="168" formatCode="#,##0.0"/>
    <numFmt numFmtId="169" formatCode="0.0E+00"/>
  </numFmts>
  <fonts count="36" x14ac:knownFonts="1">
    <font>
      <sz val="11"/>
      <color theme="1"/>
      <name val="Calibri"/>
      <family val="2"/>
      <scheme val="minor"/>
    </font>
    <font>
      <b/>
      <sz val="14"/>
      <color theme="6" tint="-0.499984740745262"/>
      <name val="Calibri"/>
      <family val="2"/>
      <scheme val="minor"/>
    </font>
    <font>
      <b/>
      <sz val="12"/>
      <color theme="6" tint="-0.499984740745262"/>
      <name val="Calibri"/>
      <family val="2"/>
      <scheme val="minor"/>
    </font>
    <font>
      <b/>
      <sz val="12"/>
      <name val="Calibri"/>
      <family val="2"/>
      <scheme val="minor"/>
    </font>
    <font>
      <sz val="12"/>
      <color theme="1"/>
      <name val="Calibri"/>
      <family val="2"/>
      <scheme val="minor"/>
    </font>
    <font>
      <sz val="11"/>
      <name val="Calibri"/>
      <family val="2"/>
      <scheme val="minor"/>
    </font>
    <font>
      <sz val="7"/>
      <color theme="0" tint="-0.249977111117893"/>
      <name val="Calibri"/>
      <family val="2"/>
      <scheme val="minor"/>
    </font>
    <font>
      <sz val="7"/>
      <name val="Calibri"/>
      <family val="2"/>
      <scheme val="minor"/>
    </font>
    <font>
      <sz val="8"/>
      <color theme="1"/>
      <name val="Calibri"/>
      <family val="2"/>
      <scheme val="minor"/>
    </font>
    <font>
      <sz val="8"/>
      <name val="Calibri"/>
      <family val="2"/>
      <scheme val="minor"/>
    </font>
    <font>
      <sz val="8"/>
      <color theme="0" tint="-0.249977111117893"/>
      <name val="Calibri"/>
      <family val="2"/>
      <scheme val="minor"/>
    </font>
    <font>
      <sz val="11"/>
      <color theme="1"/>
      <name val="Calibri"/>
      <family val="2"/>
      <scheme val="minor"/>
    </font>
    <font>
      <sz val="11"/>
      <color rgb="FF000000"/>
      <name val="Calibri"/>
      <family val="2"/>
    </font>
    <font>
      <sz val="12"/>
      <name val="Calibri"/>
      <family val="2"/>
      <scheme val="minor"/>
    </font>
    <font>
      <b/>
      <sz val="11"/>
      <color theme="1"/>
      <name val="Calibri"/>
      <family val="2"/>
      <scheme val="minor"/>
    </font>
    <font>
      <sz val="12"/>
      <color rgb="FF000000"/>
      <name val="Calibri"/>
      <family val="2"/>
    </font>
    <font>
      <b/>
      <sz val="12"/>
      <color rgb="FF000000"/>
      <name val="Calibri"/>
      <family val="2"/>
    </font>
    <font>
      <b/>
      <sz val="11"/>
      <color theme="1"/>
      <name val="Arial"/>
      <family val="2"/>
    </font>
    <font>
      <sz val="11"/>
      <color theme="1"/>
      <name val="Abadi"/>
      <family val="2"/>
    </font>
    <font>
      <u/>
      <sz val="11"/>
      <color theme="10"/>
      <name val="Calibri"/>
      <family val="2"/>
      <scheme val="minor"/>
    </font>
    <font>
      <sz val="14"/>
      <color theme="1"/>
      <name val="Calibri"/>
      <family val="2"/>
      <scheme val="minor"/>
    </font>
    <font>
      <sz val="16"/>
      <color theme="1"/>
      <name val="Calibri"/>
      <family val="2"/>
      <scheme val="minor"/>
    </font>
    <font>
      <sz val="14"/>
      <color theme="0" tint="-0.249977111117893"/>
      <name val="Calibri"/>
      <family val="2"/>
      <scheme val="minor"/>
    </font>
    <font>
      <b/>
      <sz val="14"/>
      <color theme="0"/>
      <name val="Calibri"/>
      <family val="2"/>
      <scheme val="minor"/>
    </font>
    <font>
      <sz val="14"/>
      <color rgb="FF000000"/>
      <name val="Calibri"/>
      <family val="2"/>
    </font>
    <font>
      <b/>
      <sz val="14"/>
      <color rgb="FF000000"/>
      <name val="Calibri"/>
      <family val="2"/>
    </font>
    <font>
      <b/>
      <sz val="16"/>
      <color theme="6" tint="-0.499984740745262"/>
      <name val="Calibri"/>
      <family val="2"/>
      <scheme val="minor"/>
    </font>
    <font>
      <b/>
      <sz val="16"/>
      <name val="Calibri"/>
      <family val="2"/>
      <scheme val="minor"/>
    </font>
    <font>
      <sz val="16"/>
      <name val="Calibri"/>
      <family val="2"/>
      <scheme val="minor"/>
    </font>
    <font>
      <sz val="16"/>
      <color theme="0" tint="-0.249977111117893"/>
      <name val="Calibri"/>
      <family val="2"/>
      <scheme val="minor"/>
    </font>
    <font>
      <sz val="16"/>
      <color rgb="FF000000"/>
      <name val="Calibri"/>
      <family val="2"/>
    </font>
    <font>
      <b/>
      <sz val="16"/>
      <color theme="1"/>
      <name val="Arial"/>
      <family val="2"/>
    </font>
    <font>
      <sz val="16"/>
      <color theme="1"/>
      <name val="Arial"/>
      <family val="2"/>
    </font>
    <font>
      <b/>
      <sz val="16"/>
      <color theme="1"/>
      <name val="Calibri"/>
      <family val="2"/>
      <scheme val="minor"/>
    </font>
    <font>
      <b/>
      <sz val="11"/>
      <color rgb="FFFFFFFF"/>
      <name val="Calibri"/>
      <family val="2"/>
    </font>
    <font>
      <sz val="11"/>
      <name val="Calibri"/>
      <family val="2"/>
    </font>
  </fonts>
  <fills count="14">
    <fill>
      <patternFill patternType="none"/>
    </fill>
    <fill>
      <patternFill patternType="gray125"/>
    </fill>
    <fill>
      <patternFill patternType="solid">
        <fgColor theme="9" tint="0.79998168889431442"/>
        <bgColor theme="9" tint="0.79998168889431442"/>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9" tint="0.59999389629810485"/>
        <bgColor indexed="64"/>
      </patternFill>
    </fill>
    <fill>
      <patternFill patternType="solid">
        <fgColor theme="9" tint="-0.499984740745262"/>
        <bgColor indexed="64"/>
      </patternFill>
    </fill>
    <fill>
      <patternFill patternType="solid">
        <fgColor theme="9"/>
        <bgColor theme="9"/>
      </patternFill>
    </fill>
    <fill>
      <patternFill patternType="solid">
        <fgColor rgb="FF70AD47"/>
        <bgColor rgb="FF70AD47"/>
      </patternFill>
    </fill>
    <fill>
      <patternFill patternType="solid">
        <fgColor theme="0"/>
        <bgColor indexed="64"/>
      </patternFill>
    </fill>
  </fills>
  <borders count="15">
    <border>
      <left/>
      <right/>
      <top/>
      <bottom/>
      <diagonal/>
    </border>
    <border>
      <left/>
      <right/>
      <top/>
      <bottom style="medium">
        <color theme="7"/>
      </bottom>
      <diagonal/>
    </border>
    <border>
      <left/>
      <right/>
      <top/>
      <bottom style="thin">
        <color auto="1"/>
      </bottom>
      <diagonal/>
    </border>
    <border>
      <left/>
      <right/>
      <top style="thin">
        <color auto="1"/>
      </top>
      <bottom/>
      <diagonal/>
    </border>
    <border>
      <left/>
      <right/>
      <top style="thin">
        <color theme="1"/>
      </top>
      <bottom style="thin">
        <color theme="1"/>
      </bottom>
      <diagonal/>
    </border>
    <border>
      <left style="thin">
        <color theme="9" tint="0.39997558519241921"/>
      </left>
      <right/>
      <top style="thin">
        <color theme="9" tint="0.39997558519241921"/>
      </top>
      <bottom style="thin">
        <color theme="9" tint="0.39997558519241921"/>
      </bottom>
      <diagonal/>
    </border>
    <border>
      <left style="thin">
        <color theme="9" tint="0.39997558519241921"/>
      </left>
      <right/>
      <top style="thin">
        <color theme="9" tint="0.39997558519241921"/>
      </top>
      <bottom/>
      <diagonal/>
    </border>
    <border>
      <left/>
      <right/>
      <top/>
      <bottom style="thin">
        <color theme="1"/>
      </bottom>
      <diagonal/>
    </border>
    <border>
      <left/>
      <right/>
      <top style="thin">
        <color theme="9" tint="0.39997558519241921"/>
      </top>
      <bottom style="thin">
        <color theme="9" tint="0.39997558519241921"/>
      </bottom>
      <diagonal/>
    </border>
    <border>
      <left style="thin">
        <color rgb="FFA9D08E"/>
      </left>
      <right/>
      <top style="thin">
        <color rgb="FFA9D08E"/>
      </top>
      <bottom style="thin">
        <color rgb="FFA9D08E"/>
      </bottom>
      <diagonal/>
    </border>
    <border>
      <left/>
      <right/>
      <top style="thin">
        <color rgb="FFA9D08E"/>
      </top>
      <bottom style="thin">
        <color rgb="FFA9D08E"/>
      </bottom>
      <diagonal/>
    </border>
    <border>
      <left/>
      <right style="thin">
        <color rgb="FFA9D08E"/>
      </right>
      <top style="thin">
        <color rgb="FFA9D08E"/>
      </top>
      <bottom style="thin">
        <color rgb="FFA9D08E"/>
      </bottom>
      <diagonal/>
    </border>
    <border>
      <left/>
      <right style="thin">
        <color theme="9" tint="0.39997558519241921"/>
      </right>
      <top style="thin">
        <color theme="9" tint="0.39997558519241921"/>
      </top>
      <bottom style="thin">
        <color theme="9" tint="0.39997558519241921"/>
      </bottom>
      <diagonal/>
    </border>
    <border>
      <left/>
      <right/>
      <top style="thin">
        <color theme="9" tint="0.39997558519241921"/>
      </top>
      <bottom/>
      <diagonal/>
    </border>
    <border>
      <left/>
      <right style="thin">
        <color theme="9" tint="0.39997558519241921"/>
      </right>
      <top style="thin">
        <color theme="9" tint="0.39997558519241921"/>
      </top>
      <bottom/>
      <diagonal/>
    </border>
  </borders>
  <cellStyleXfs count="4">
    <xf numFmtId="0" fontId="0" fillId="0" borderId="0"/>
    <xf numFmtId="0" fontId="1" fillId="0" borderId="1">
      <alignment vertical="center"/>
    </xf>
    <xf numFmtId="9" fontId="11" fillId="0" borderId="0" applyFont="0" applyFill="0" applyBorder="0" applyAlignment="0" applyProtection="0"/>
    <xf numFmtId="0" fontId="19" fillId="0" borderId="0" applyNumberFormat="0" applyFill="0" applyBorder="0" applyAlignment="0" applyProtection="0"/>
  </cellStyleXfs>
  <cellXfs count="152">
    <xf numFmtId="0" fontId="0" fillId="0" borderId="0" xfId="0"/>
    <xf numFmtId="0" fontId="2" fillId="0" borderId="2" xfId="1" applyFont="1" applyBorder="1">
      <alignment vertical="center"/>
    </xf>
    <xf numFmtId="0" fontId="3" fillId="0" borderId="2" xfId="1" applyFont="1" applyBorder="1">
      <alignment vertical="center"/>
    </xf>
    <xf numFmtId="0" fontId="2" fillId="0" borderId="0" xfId="1" applyFont="1" applyBorder="1">
      <alignment vertical="center"/>
    </xf>
    <xf numFmtId="0" fontId="4" fillId="0" borderId="0" xfId="0" applyFont="1"/>
    <xf numFmtId="0" fontId="0" fillId="0" borderId="3" xfId="0" applyBorder="1"/>
    <xf numFmtId="0" fontId="5" fillId="0" borderId="0" xfId="0" applyFont="1"/>
    <xf numFmtId="0" fontId="4" fillId="0" borderId="3" xfId="0" applyFont="1" applyBorder="1" applyAlignment="1">
      <alignment horizontal="center" vertical="center"/>
    </xf>
    <xf numFmtId="0" fontId="6" fillId="0" borderId="0" xfId="0" applyFont="1"/>
    <xf numFmtId="0" fontId="7" fillId="0" borderId="0" xfId="0" applyFont="1"/>
    <xf numFmtId="0" fontId="8" fillId="0" borderId="0" xfId="0" applyFont="1"/>
    <xf numFmtId="0" fontId="8" fillId="0" borderId="0" xfId="0" applyFont="1" applyAlignment="1">
      <alignment wrapText="1"/>
    </xf>
    <xf numFmtId="0" fontId="6" fillId="0" borderId="0" xfId="0" applyFont="1" applyAlignment="1">
      <alignment horizontal="right" indent="1"/>
    </xf>
    <xf numFmtId="0" fontId="4" fillId="0" borderId="0" xfId="0" applyFont="1" applyAlignment="1">
      <alignment vertical="center"/>
    </xf>
    <xf numFmtId="0" fontId="9" fillId="0" borderId="0" xfId="0" applyFont="1"/>
    <xf numFmtId="164" fontId="10" fillId="0" borderId="0" xfId="0" applyNumberFormat="1" applyFont="1" applyAlignment="1">
      <alignment horizontal="right" indent="1"/>
    </xf>
    <xf numFmtId="165" fontId="8" fillId="0" borderId="0" xfId="0" applyNumberFormat="1" applyFont="1"/>
    <xf numFmtId="0" fontId="8" fillId="0" borderId="0" xfId="0" applyFont="1" applyAlignment="1">
      <alignment vertical="center"/>
    </xf>
    <xf numFmtId="166" fontId="8" fillId="0" borderId="0" xfId="0" applyNumberFormat="1" applyFont="1" applyAlignment="1">
      <alignment horizontal="right" vertical="center" indent="1"/>
    </xf>
    <xf numFmtId="0" fontId="12" fillId="0" borderId="0" xfId="0" applyFont="1"/>
    <xf numFmtId="0" fontId="13" fillId="0" borderId="0" xfId="0" applyFont="1"/>
    <xf numFmtId="0" fontId="4" fillId="0" borderId="0" xfId="0" applyFont="1" applyAlignment="1">
      <alignment wrapText="1"/>
    </xf>
    <xf numFmtId="165" fontId="4" fillId="0" borderId="0" xfId="0" applyNumberFormat="1" applyFont="1"/>
    <xf numFmtId="2" fontId="4" fillId="0" borderId="0" xfId="0" applyNumberFormat="1" applyFont="1"/>
    <xf numFmtId="0" fontId="0" fillId="0" borderId="0" xfId="0" applyProtection="1">
      <protection locked="0"/>
    </xf>
    <xf numFmtId="0" fontId="0" fillId="2" borderId="5" xfId="0" applyFill="1" applyBorder="1"/>
    <xf numFmtId="0" fontId="0" fillId="0" borderId="5" xfId="0" applyBorder="1"/>
    <xf numFmtId="0" fontId="0" fillId="2" borderId="6" xfId="0" applyFill="1" applyBorder="1"/>
    <xf numFmtId="0" fontId="14" fillId="0" borderId="4" xfId="0" applyFont="1" applyBorder="1"/>
    <xf numFmtId="14" fontId="2" fillId="0" borderId="0" xfId="1" applyNumberFormat="1" applyFont="1" applyBorder="1">
      <alignment vertical="center"/>
    </xf>
    <xf numFmtId="0" fontId="16" fillId="0" borderId="0" xfId="0" applyFont="1" applyAlignment="1">
      <alignment wrapText="1"/>
    </xf>
    <xf numFmtId="0" fontId="16" fillId="0" borderId="0" xfId="0" applyFont="1" applyAlignment="1" applyProtection="1">
      <alignment wrapText="1"/>
      <protection locked="0"/>
    </xf>
    <xf numFmtId="0" fontId="15" fillId="0" borderId="0" xfId="0" applyFont="1" applyProtection="1">
      <protection locked="0"/>
    </xf>
    <xf numFmtId="0" fontId="15" fillId="6" borderId="0" xfId="0" applyFont="1" applyFill="1"/>
    <xf numFmtId="0" fontId="15" fillId="4" borderId="0" xfId="0" applyFont="1" applyFill="1"/>
    <xf numFmtId="0" fontId="15" fillId="5" borderId="0" xfId="0" applyFont="1" applyFill="1"/>
    <xf numFmtId="0" fontId="15" fillId="7" borderId="0" xfId="0" applyFont="1" applyFill="1"/>
    <xf numFmtId="167" fontId="4" fillId="7" borderId="0" xfId="0" applyNumberFormat="1" applyFont="1" applyFill="1"/>
    <xf numFmtId="0" fontId="16" fillId="0" borderId="7" xfId="0" applyFont="1" applyBorder="1" applyAlignment="1">
      <alignment wrapText="1"/>
    </xf>
    <xf numFmtId="11" fontId="4" fillId="7" borderId="0" xfId="0" applyNumberFormat="1" applyFont="1" applyFill="1"/>
    <xf numFmtId="0" fontId="0" fillId="0" borderId="0" xfId="0" applyAlignment="1">
      <alignment wrapText="1"/>
    </xf>
    <xf numFmtId="0" fontId="15" fillId="7" borderId="0" xfId="0" applyFont="1" applyFill="1" applyProtection="1">
      <protection locked="0"/>
    </xf>
    <xf numFmtId="2" fontId="15" fillId="7" borderId="0" xfId="0" applyNumberFormat="1" applyFont="1" applyFill="1" applyProtection="1">
      <protection locked="0"/>
    </xf>
    <xf numFmtId="9" fontId="15" fillId="7" borderId="0" xfId="0" applyNumberFormat="1" applyFont="1" applyFill="1" applyProtection="1">
      <protection locked="0"/>
    </xf>
    <xf numFmtId="167" fontId="4" fillId="7" borderId="0" xfId="0" applyNumberFormat="1" applyFont="1" applyFill="1" applyProtection="1">
      <protection locked="0"/>
    </xf>
    <xf numFmtId="0" fontId="0" fillId="10" borderId="0" xfId="0" applyFill="1"/>
    <xf numFmtId="0" fontId="18" fillId="10" borderId="0" xfId="0" applyFont="1" applyFill="1"/>
    <xf numFmtId="0" fontId="12" fillId="0" borderId="0" xfId="0" applyFont="1" applyAlignment="1">
      <alignment wrapText="1"/>
    </xf>
    <xf numFmtId="9" fontId="15" fillId="7" borderId="0" xfId="2" applyFont="1" applyFill="1" applyProtection="1">
      <protection locked="0"/>
    </xf>
    <xf numFmtId="0" fontId="17" fillId="0" borderId="0" xfId="0" applyFont="1" applyAlignment="1">
      <alignment vertical="center"/>
    </xf>
    <xf numFmtId="0" fontId="1" fillId="0" borderId="2" xfId="1" applyBorder="1">
      <alignment vertical="center"/>
    </xf>
    <xf numFmtId="0" fontId="20" fillId="0" borderId="0" xfId="0" applyFont="1"/>
    <xf numFmtId="14" fontId="1" fillId="0" borderId="2" xfId="1" applyNumberFormat="1" applyBorder="1">
      <alignment vertical="center"/>
    </xf>
    <xf numFmtId="0" fontId="20" fillId="0" borderId="3" xfId="0" applyFont="1" applyBorder="1"/>
    <xf numFmtId="0" fontId="20" fillId="0" borderId="3" xfId="0" applyFont="1" applyBorder="1" applyAlignment="1">
      <alignment horizontal="center" vertical="center"/>
    </xf>
    <xf numFmtId="0" fontId="22" fillId="0" borderId="0" xfId="0" applyFont="1"/>
    <xf numFmtId="0" fontId="20" fillId="0" borderId="0" xfId="0" applyFont="1" applyAlignment="1">
      <alignment wrapText="1"/>
    </xf>
    <xf numFmtId="166" fontId="20" fillId="0" borderId="0" xfId="0" applyNumberFormat="1" applyFont="1" applyAlignment="1">
      <alignment horizontal="right" vertical="center" indent="1"/>
    </xf>
    <xf numFmtId="0" fontId="20" fillId="8" borderId="0" xfId="0" applyFont="1" applyFill="1"/>
    <xf numFmtId="0" fontId="20" fillId="0" borderId="0" xfId="0" pivotButton="1" applyFont="1"/>
    <xf numFmtId="0" fontId="20" fillId="0" borderId="0" xfId="0" applyFont="1" applyAlignment="1">
      <alignment horizontal="left"/>
    </xf>
    <xf numFmtId="168" fontId="20" fillId="0" borderId="0" xfId="0" applyNumberFormat="1" applyFont="1"/>
    <xf numFmtId="0" fontId="20" fillId="0" borderId="0" xfId="0" applyFont="1" applyAlignment="1">
      <alignment horizontal="left" indent="1"/>
    </xf>
    <xf numFmtId="0" fontId="20" fillId="9" borderId="0" xfId="0" applyFont="1" applyFill="1"/>
    <xf numFmtId="0" fontId="20" fillId="0" borderId="0" xfId="0" pivotButton="1" applyFont="1" applyAlignment="1">
      <alignment wrapText="1"/>
    </xf>
    <xf numFmtId="1" fontId="20" fillId="0" borderId="0" xfId="0" applyNumberFormat="1" applyFont="1"/>
    <xf numFmtId="167" fontId="20" fillId="0" borderId="0" xfId="0" applyNumberFormat="1" applyFont="1"/>
    <xf numFmtId="11" fontId="4" fillId="7" borderId="0" xfId="0" applyNumberFormat="1" applyFont="1" applyFill="1" applyProtection="1">
      <protection locked="0"/>
    </xf>
    <xf numFmtId="0" fontId="24" fillId="7" borderId="0" xfId="0" applyFont="1" applyFill="1"/>
    <xf numFmtId="167" fontId="24" fillId="7" borderId="0" xfId="0" applyNumberFormat="1" applyFont="1" applyFill="1"/>
    <xf numFmtId="167" fontId="20" fillId="7" borderId="0" xfId="0" applyNumberFormat="1" applyFont="1" applyFill="1"/>
    <xf numFmtId="0" fontId="25" fillId="0" borderId="0" xfId="0" applyFont="1" applyAlignment="1">
      <alignment wrapText="1"/>
    </xf>
    <xf numFmtId="0" fontId="25" fillId="0" borderId="0" xfId="0" applyFont="1" applyAlignment="1" applyProtection="1">
      <alignment wrapText="1"/>
      <protection locked="0"/>
    </xf>
    <xf numFmtId="0" fontId="24" fillId="4" borderId="0" xfId="0" applyFont="1" applyFill="1" applyProtection="1">
      <protection locked="0"/>
    </xf>
    <xf numFmtId="0" fontId="24" fillId="6" borderId="0" xfId="0" applyFont="1" applyFill="1" applyProtection="1">
      <protection locked="0"/>
    </xf>
    <xf numFmtId="0" fontId="24" fillId="5" borderId="0" xfId="0" applyFont="1" applyFill="1" applyProtection="1">
      <protection locked="0"/>
    </xf>
    <xf numFmtId="9" fontId="24" fillId="6" borderId="0" xfId="0" applyNumberFormat="1" applyFont="1" applyFill="1" applyProtection="1">
      <protection locked="0"/>
    </xf>
    <xf numFmtId="167" fontId="24" fillId="5" borderId="0" xfId="0" applyNumberFormat="1" applyFont="1" applyFill="1" applyProtection="1">
      <protection locked="0"/>
    </xf>
    <xf numFmtId="11" fontId="20" fillId="7" borderId="0" xfId="0" applyNumberFormat="1" applyFont="1" applyFill="1"/>
    <xf numFmtId="0" fontId="26" fillId="0" borderId="2" xfId="1" applyFont="1" applyBorder="1">
      <alignment vertical="center"/>
    </xf>
    <xf numFmtId="0" fontId="27" fillId="0" borderId="2" xfId="1" applyFont="1" applyBorder="1">
      <alignment vertical="center"/>
    </xf>
    <xf numFmtId="0" fontId="26" fillId="0" borderId="0" xfId="1" applyFont="1" applyBorder="1">
      <alignment vertical="center"/>
    </xf>
    <xf numFmtId="0" fontId="21" fillId="0" borderId="0" xfId="0" applyFont="1"/>
    <xf numFmtId="0" fontId="21" fillId="0" borderId="3" xfId="0" applyFont="1" applyBorder="1" applyAlignment="1">
      <alignment horizontal="center" vertical="center"/>
    </xf>
    <xf numFmtId="0" fontId="21" fillId="0" borderId="0" xfId="0" applyFont="1" applyAlignment="1">
      <alignment wrapText="1"/>
    </xf>
    <xf numFmtId="0" fontId="21" fillId="0" borderId="0" xfId="0" applyFont="1" applyAlignment="1">
      <alignment vertical="center"/>
    </xf>
    <xf numFmtId="165" fontId="21" fillId="0" borderId="0" xfId="0" applyNumberFormat="1" applyFont="1"/>
    <xf numFmtId="0" fontId="30" fillId="0" borderId="0" xfId="0" applyFont="1" applyProtection="1">
      <protection locked="0"/>
    </xf>
    <xf numFmtId="0" fontId="31" fillId="3" borderId="0" xfId="0" applyFont="1" applyFill="1" applyAlignment="1">
      <alignment vertical="center"/>
    </xf>
    <xf numFmtId="0" fontId="21" fillId="0" borderId="0" xfId="0" applyFont="1" applyAlignment="1" applyProtection="1">
      <alignment wrapText="1"/>
      <protection locked="0"/>
    </xf>
    <xf numFmtId="2" fontId="30" fillId="0" borderId="0" xfId="0" applyNumberFormat="1" applyFont="1" applyProtection="1">
      <protection locked="0"/>
    </xf>
    <xf numFmtId="0" fontId="21" fillId="0" borderId="0" xfId="0" applyFont="1" applyProtection="1">
      <protection locked="0"/>
    </xf>
    <xf numFmtId="9" fontId="30" fillId="0" borderId="0" xfId="2" applyFont="1" applyProtection="1">
      <protection locked="0"/>
    </xf>
    <xf numFmtId="167" fontId="30" fillId="0" borderId="0" xfId="0" applyNumberFormat="1" applyFont="1" applyProtection="1">
      <protection locked="0"/>
    </xf>
    <xf numFmtId="167" fontId="21" fillId="0" borderId="0" xfId="0" applyNumberFormat="1" applyFont="1" applyProtection="1">
      <protection locked="0"/>
    </xf>
    <xf numFmtId="167" fontId="21" fillId="0" borderId="0" xfId="0" applyNumberFormat="1" applyFont="1"/>
    <xf numFmtId="2" fontId="21" fillId="0" borderId="0" xfId="0" applyNumberFormat="1" applyFont="1" applyProtection="1">
      <protection locked="0"/>
    </xf>
    <xf numFmtId="9" fontId="30" fillId="0" borderId="0" xfId="2" applyFont="1" applyBorder="1" applyProtection="1">
      <protection locked="0"/>
    </xf>
    <xf numFmtId="0" fontId="30" fillId="0" borderId="0" xfId="0" quotePrefix="1" applyFont="1" applyProtection="1">
      <protection locked="0"/>
    </xf>
    <xf numFmtId="0" fontId="14" fillId="0" borderId="0" xfId="0" applyFont="1"/>
    <xf numFmtId="0" fontId="23" fillId="11" borderId="8" xfId="0" applyFont="1" applyFill="1" applyBorder="1"/>
    <xf numFmtId="0" fontId="20" fillId="2" borderId="8" xfId="0" applyFont="1" applyFill="1" applyBorder="1"/>
    <xf numFmtId="0" fontId="20" fillId="0" borderId="8" xfId="0" applyFont="1" applyBorder="1"/>
    <xf numFmtId="2" fontId="15" fillId="7" borderId="0" xfId="0" applyNumberFormat="1" applyFont="1" applyFill="1"/>
    <xf numFmtId="2" fontId="4" fillId="7" borderId="0" xfId="0" applyNumberFormat="1" applyFont="1" applyFill="1" applyProtection="1">
      <protection locked="0"/>
    </xf>
    <xf numFmtId="0" fontId="19" fillId="0" borderId="0" xfId="3" applyAlignment="1">
      <alignment wrapText="1"/>
    </xf>
    <xf numFmtId="0" fontId="24" fillId="7" borderId="0" xfId="0" applyFont="1" applyFill="1" applyProtection="1">
      <protection locked="0"/>
    </xf>
    <xf numFmtId="167" fontId="24" fillId="7" borderId="0" xfId="0" applyNumberFormat="1" applyFont="1" applyFill="1" applyProtection="1">
      <protection locked="0"/>
    </xf>
    <xf numFmtId="11" fontId="20" fillId="7" borderId="0" xfId="0" applyNumberFormat="1" applyFont="1" applyFill="1" applyProtection="1">
      <protection locked="0"/>
    </xf>
    <xf numFmtId="9" fontId="24" fillId="6" borderId="0" xfId="2" applyFont="1" applyFill="1" applyProtection="1">
      <protection locked="0"/>
    </xf>
    <xf numFmtId="0" fontId="20" fillId="0" borderId="0" xfId="0" applyFont="1" applyProtection="1">
      <protection locked="0"/>
    </xf>
    <xf numFmtId="0" fontId="20" fillId="9" borderId="0" xfId="0" applyFont="1" applyFill="1" applyProtection="1">
      <protection locked="0"/>
    </xf>
    <xf numFmtId="0" fontId="20" fillId="0" borderId="0" xfId="0" applyFont="1" applyAlignment="1" applyProtection="1">
      <alignment wrapText="1"/>
      <protection locked="0"/>
    </xf>
    <xf numFmtId="0" fontId="21" fillId="0" borderId="3" xfId="0" applyFont="1" applyBorder="1"/>
    <xf numFmtId="0" fontId="28" fillId="0" borderId="0" xfId="0" applyFont="1"/>
    <xf numFmtId="0" fontId="29" fillId="0" borderId="0" xfId="0" applyFont="1"/>
    <xf numFmtId="164" fontId="29" fillId="0" borderId="0" xfId="0" applyNumberFormat="1" applyFont="1" applyAlignment="1">
      <alignment horizontal="right" indent="1"/>
    </xf>
    <xf numFmtId="0" fontId="30" fillId="0" borderId="0" xfId="0" applyFont="1"/>
    <xf numFmtId="0" fontId="30" fillId="4" borderId="0" xfId="0" applyFont="1" applyFill="1"/>
    <xf numFmtId="0" fontId="30" fillId="6" borderId="0" xfId="0" applyFont="1" applyFill="1"/>
    <xf numFmtId="0" fontId="30" fillId="5" borderId="0" xfId="0" applyFont="1" applyFill="1"/>
    <xf numFmtId="0" fontId="30" fillId="7" borderId="0" xfId="0" applyFont="1" applyFill="1"/>
    <xf numFmtId="0" fontId="33" fillId="0" borderId="0" xfId="0" applyFont="1"/>
    <xf numFmtId="0" fontId="32" fillId="3" borderId="0" xfId="0" applyFont="1" applyFill="1" applyAlignment="1">
      <alignment vertical="center"/>
    </xf>
    <xf numFmtId="166" fontId="21" fillId="0" borderId="0" xfId="0" applyNumberFormat="1" applyFont="1" applyAlignment="1">
      <alignment horizontal="right" vertical="center" indent="1"/>
    </xf>
    <xf numFmtId="0" fontId="28" fillId="0" borderId="0" xfId="0" applyFont="1" applyAlignment="1">
      <alignment wrapText="1"/>
    </xf>
    <xf numFmtId="165" fontId="21" fillId="0" borderId="0" xfId="0" applyNumberFormat="1" applyFont="1" applyAlignment="1">
      <alignment wrapText="1"/>
    </xf>
    <xf numFmtId="0" fontId="21" fillId="0" borderId="0" xfId="0" applyFont="1" applyAlignment="1">
      <alignment vertical="center" wrapText="1"/>
    </xf>
    <xf numFmtId="2" fontId="24" fillId="0" borderId="0" xfId="0" applyNumberFormat="1" applyFont="1"/>
    <xf numFmtId="0" fontId="34" fillId="12" borderId="9" xfId="0" applyFont="1" applyFill="1" applyBorder="1"/>
    <xf numFmtId="0" fontId="34" fillId="12" borderId="10" xfId="0" applyFont="1" applyFill="1" applyBorder="1"/>
    <xf numFmtId="0" fontId="34" fillId="12" borderId="11" xfId="0" applyFont="1" applyFill="1" applyBorder="1"/>
    <xf numFmtId="167" fontId="0" fillId="0" borderId="0" xfId="0" applyNumberFormat="1"/>
    <xf numFmtId="0" fontId="35" fillId="13" borderId="0" xfId="0" applyFont="1" applyFill="1"/>
    <xf numFmtId="0" fontId="12" fillId="3" borderId="0" xfId="0" applyFont="1" applyFill="1"/>
    <xf numFmtId="0" fontId="12" fillId="6" borderId="0" xfId="0" applyFont="1" applyFill="1"/>
    <xf numFmtId="14" fontId="1" fillId="0" borderId="0" xfId="1" applyNumberFormat="1" applyBorder="1">
      <alignment vertical="center"/>
    </xf>
    <xf numFmtId="0" fontId="20" fillId="0" borderId="0" xfId="0" applyFont="1" applyAlignment="1">
      <alignment horizontal="center" vertical="center"/>
    </xf>
    <xf numFmtId="0" fontId="34" fillId="12" borderId="0" xfId="0" applyFont="1" applyFill="1"/>
    <xf numFmtId="2" fontId="0" fillId="0" borderId="0" xfId="0" applyNumberFormat="1"/>
    <xf numFmtId="0" fontId="4" fillId="2" borderId="8" xfId="0" applyFont="1" applyFill="1" applyBorder="1"/>
    <xf numFmtId="2" fontId="4" fillId="2" borderId="8" xfId="0" applyNumberFormat="1" applyFont="1" applyFill="1" applyBorder="1"/>
    <xf numFmtId="2" fontId="4" fillId="2" borderId="12" xfId="0" applyNumberFormat="1" applyFont="1" applyFill="1" applyBorder="1"/>
    <xf numFmtId="2" fontId="4" fillId="0" borderId="0" xfId="0" applyNumberFormat="1" applyFont="1" applyAlignment="1">
      <alignment horizontal="right" indent="1"/>
    </xf>
    <xf numFmtId="0" fontId="4" fillId="0" borderId="0" xfId="0" applyFont="1" applyAlignment="1">
      <alignment horizontal="right" indent="1"/>
    </xf>
    <xf numFmtId="0" fontId="4" fillId="0" borderId="13" xfId="0" applyFont="1" applyBorder="1"/>
    <xf numFmtId="2" fontId="4" fillId="0" borderId="13" xfId="0" applyNumberFormat="1" applyFont="1" applyBorder="1"/>
    <xf numFmtId="2" fontId="4" fillId="0" borderId="14" xfId="0" applyNumberFormat="1" applyFont="1" applyBorder="1"/>
    <xf numFmtId="2" fontId="0" fillId="0" borderId="0" xfId="0" applyNumberFormat="1" applyAlignment="1">
      <alignment horizontal="right"/>
    </xf>
    <xf numFmtId="169" fontId="20" fillId="0" borderId="0" xfId="0" applyNumberFormat="1" applyFont="1"/>
    <xf numFmtId="169" fontId="20" fillId="0" borderId="0" xfId="0" applyNumberFormat="1" applyFont="1" applyProtection="1">
      <protection locked="0"/>
    </xf>
    <xf numFmtId="0" fontId="0" fillId="0" borderId="0" xfId="0" applyAlignment="1">
      <alignment horizontal="left" vertical="top" wrapText="1"/>
    </xf>
  </cellXfs>
  <cellStyles count="4">
    <cellStyle name="Formatvorlage 4" xfId="1" xr:uid="{9B37642F-9FD4-4668-989E-BFE33ADF9254}"/>
    <cellStyle name="Link" xfId="3" builtinId="8"/>
    <cellStyle name="Prozent" xfId="2" builtinId="5"/>
    <cellStyle name="Standard" xfId="0" builtinId="0"/>
  </cellStyles>
  <dxfs count="323">
    <dxf>
      <border outline="0">
        <bottom style="thin">
          <color theme="9" tint="0.39997558519241921"/>
        </bottom>
      </border>
    </dxf>
    <dxf>
      <numFmt numFmtId="0" formatCode="General"/>
    </dxf>
    <dxf>
      <font>
        <strike val="0"/>
        <outline val="0"/>
        <shadow val="0"/>
        <u val="none"/>
        <vertAlign val="baseline"/>
        <sz val="12"/>
        <name val="Calibri"/>
        <family val="2"/>
      </font>
      <numFmt numFmtId="15" formatCode="0.00E+00"/>
      <fill>
        <patternFill patternType="solid">
          <fgColor indexed="64"/>
          <bgColor theme="0" tint="-4.9989318521683403E-2"/>
        </patternFill>
      </fill>
      <protection locked="1" hidden="0"/>
    </dxf>
    <dxf>
      <font>
        <strike val="0"/>
        <outline val="0"/>
        <shadow val="0"/>
        <u val="none"/>
        <vertAlign val="baseline"/>
        <sz val="12"/>
        <name val="Calibri"/>
        <family val="2"/>
      </font>
      <numFmt numFmtId="15" formatCode="0.00E+00"/>
      <fill>
        <patternFill patternType="solid">
          <fgColor indexed="64"/>
          <bgColor theme="0" tint="-4.9989318521683403E-2"/>
        </patternFill>
      </fill>
      <protection locked="1" hidden="0"/>
    </dxf>
    <dxf>
      <font>
        <strike val="0"/>
        <outline val="0"/>
        <shadow val="0"/>
        <u val="none"/>
        <vertAlign val="baseline"/>
        <sz val="12"/>
        <name val="Calibri"/>
        <family val="2"/>
      </font>
      <numFmt numFmtId="15" formatCode="0.00E+00"/>
      <fill>
        <patternFill patternType="solid">
          <fgColor indexed="64"/>
          <bgColor theme="0" tint="-4.9989318521683403E-2"/>
        </patternFill>
      </fill>
      <protection locked="1" hidden="0"/>
    </dxf>
    <dxf>
      <font>
        <strike val="0"/>
        <outline val="0"/>
        <shadow val="0"/>
        <u val="none"/>
        <vertAlign val="baseline"/>
        <sz val="12"/>
        <name val="Calibri"/>
        <family val="2"/>
      </font>
      <numFmt numFmtId="167" formatCode="0.0"/>
      <fill>
        <patternFill patternType="solid">
          <fgColor indexed="64"/>
          <bgColor theme="0" tint="-4.9989318521683403E-2"/>
        </patternFill>
      </fill>
      <protection locked="1" hidden="0"/>
    </dxf>
    <dxf>
      <font>
        <strike val="0"/>
        <outline val="0"/>
        <shadow val="0"/>
        <u val="none"/>
        <vertAlign val="baseline"/>
        <sz val="12"/>
        <name val="Calibri"/>
        <family val="2"/>
      </font>
      <numFmt numFmtId="167" formatCode="0.0"/>
      <fill>
        <patternFill patternType="solid">
          <fgColor indexed="64"/>
          <bgColor theme="0" tint="-4.9989318521683403E-2"/>
        </patternFill>
      </fill>
      <protection locked="1" hidden="0"/>
    </dxf>
    <dxf>
      <font>
        <strike val="0"/>
        <outline val="0"/>
        <shadow val="0"/>
        <u val="none"/>
        <vertAlign val="baseline"/>
        <sz val="12"/>
        <name val="Calibri"/>
        <family val="2"/>
      </font>
      <numFmt numFmtId="167" formatCode="0.0"/>
      <fill>
        <patternFill patternType="solid">
          <fgColor indexed="64"/>
          <bgColor theme="0" tint="-4.9989318521683403E-2"/>
        </patternFill>
      </fill>
      <protection locked="1" hidden="0"/>
    </dxf>
    <dxf>
      <font>
        <strike val="0"/>
        <outline val="0"/>
        <shadow val="0"/>
        <u val="none"/>
        <vertAlign val="baseline"/>
        <sz val="12"/>
        <name val="Calibri"/>
        <family val="2"/>
      </font>
      <numFmt numFmtId="167" formatCode="0.0"/>
      <fill>
        <patternFill patternType="solid">
          <fgColor indexed="64"/>
          <bgColor theme="0" tint="-4.9989318521683403E-2"/>
        </patternFill>
      </fill>
      <protection locked="1" hidden="0"/>
    </dxf>
    <dxf>
      <font>
        <strike val="0"/>
        <outline val="0"/>
        <shadow val="0"/>
        <u val="none"/>
        <vertAlign val="baseline"/>
        <sz val="12"/>
        <name val="Calibri"/>
        <family val="2"/>
      </font>
      <numFmt numFmtId="167" formatCode="0.0"/>
      <fill>
        <patternFill patternType="solid">
          <fgColor indexed="64"/>
          <bgColor theme="0" tint="-4.9989318521683403E-2"/>
        </patternFill>
      </fill>
      <protection locked="1" hidden="0"/>
    </dxf>
    <dxf>
      <font>
        <strike val="0"/>
        <outline val="0"/>
        <shadow val="0"/>
        <u val="none"/>
        <vertAlign val="baseline"/>
        <sz val="12"/>
        <name val="Calibri"/>
        <family val="2"/>
      </font>
      <numFmt numFmtId="167" formatCode="0.0"/>
      <fill>
        <patternFill patternType="solid">
          <fgColor indexed="64"/>
          <bgColor theme="0" tint="-4.9989318521683403E-2"/>
        </patternFill>
      </fill>
      <protection locked="1" hidden="0"/>
    </dxf>
    <dxf>
      <font>
        <strike val="0"/>
        <outline val="0"/>
        <shadow val="0"/>
        <u val="none"/>
        <vertAlign val="baseline"/>
        <sz val="12"/>
        <name val="Calibri"/>
        <family val="2"/>
      </font>
      <numFmt numFmtId="167" formatCode="0.0"/>
      <fill>
        <patternFill patternType="solid">
          <fgColor indexed="64"/>
          <bgColor theme="0" tint="-4.9989318521683403E-2"/>
        </patternFill>
      </fill>
      <protection locked="1" hidden="0"/>
    </dxf>
    <dxf>
      <font>
        <strike val="0"/>
        <outline val="0"/>
        <shadow val="0"/>
        <u val="none"/>
        <vertAlign val="baseline"/>
        <sz val="12"/>
        <name val="Calibri"/>
        <family val="2"/>
      </font>
      <numFmt numFmtId="167" formatCode="0.0"/>
      <fill>
        <patternFill patternType="solid">
          <fgColor indexed="64"/>
          <bgColor theme="0" tint="-4.9989318521683403E-2"/>
        </patternFill>
      </fill>
      <protection locked="1" hidden="0"/>
    </dxf>
    <dxf>
      <font>
        <strike val="0"/>
        <outline val="0"/>
        <shadow val="0"/>
        <u val="none"/>
        <vertAlign val="baseline"/>
        <sz val="12"/>
        <name val="Calibri"/>
        <family val="2"/>
      </font>
      <numFmt numFmtId="167" formatCode="0.0"/>
      <fill>
        <patternFill patternType="solid">
          <fgColor indexed="64"/>
          <bgColor theme="0" tint="-4.9989318521683403E-2"/>
        </patternFill>
      </fill>
      <protection locked="1" hidden="0"/>
    </dxf>
    <dxf>
      <font>
        <strike val="0"/>
        <outline val="0"/>
        <shadow val="0"/>
        <u val="none"/>
        <vertAlign val="baseline"/>
        <sz val="12"/>
        <name val="Calibri"/>
        <family val="2"/>
      </font>
      <numFmt numFmtId="167" formatCode="0.0"/>
      <fill>
        <patternFill patternType="solid">
          <fgColor indexed="64"/>
          <bgColor theme="0" tint="-4.9989318521683403E-2"/>
        </patternFill>
      </fill>
      <protection locked="1" hidden="0"/>
    </dxf>
    <dxf>
      <font>
        <strike val="0"/>
        <outline val="0"/>
        <shadow val="0"/>
        <u val="none"/>
        <vertAlign val="baseline"/>
        <sz val="12"/>
        <name val="Calibri"/>
        <family val="2"/>
      </font>
      <numFmt numFmtId="167" formatCode="0.0"/>
      <fill>
        <patternFill patternType="solid">
          <fgColor indexed="64"/>
          <bgColor theme="0" tint="-4.9989318521683403E-2"/>
        </patternFill>
      </fill>
      <protection locked="1" hidden="0"/>
    </dxf>
    <dxf>
      <font>
        <strike val="0"/>
        <outline val="0"/>
        <shadow val="0"/>
        <u val="none"/>
        <vertAlign val="baseline"/>
        <sz val="12"/>
        <name val="Calibri"/>
        <family val="2"/>
      </font>
      <numFmt numFmtId="167" formatCode="0.0"/>
      <fill>
        <patternFill patternType="solid">
          <fgColor indexed="64"/>
          <bgColor theme="0" tint="-4.9989318521683403E-2"/>
        </patternFill>
      </fill>
      <protection locked="1" hidden="0"/>
    </dxf>
    <dxf>
      <font>
        <strike val="0"/>
        <outline val="0"/>
        <shadow val="0"/>
        <u val="none"/>
        <vertAlign val="baseline"/>
        <sz val="12"/>
        <name val="Calibri"/>
        <family val="2"/>
      </font>
      <numFmt numFmtId="167" formatCode="0.0"/>
      <fill>
        <patternFill patternType="solid">
          <fgColor indexed="64"/>
          <bgColor theme="0" tint="-4.9989318521683403E-2"/>
        </patternFill>
      </fill>
      <protection locked="1" hidden="0"/>
    </dxf>
    <dxf>
      <font>
        <strike val="0"/>
        <outline val="0"/>
        <shadow val="0"/>
        <u val="none"/>
        <vertAlign val="baseline"/>
        <sz val="12"/>
        <name val="Calibri"/>
        <family val="2"/>
      </font>
      <numFmt numFmtId="167" formatCode="0.0"/>
      <fill>
        <patternFill patternType="solid">
          <fgColor indexed="64"/>
          <bgColor theme="0" tint="-4.9989318521683403E-2"/>
        </patternFill>
      </fill>
      <protection locked="1" hidden="0"/>
    </dxf>
    <dxf>
      <font>
        <strike val="0"/>
        <outline val="0"/>
        <shadow val="0"/>
        <u val="none"/>
        <vertAlign val="baseline"/>
        <sz val="12"/>
        <name val="Calibri"/>
        <family val="2"/>
      </font>
      <numFmt numFmtId="167" formatCode="0.0"/>
      <fill>
        <patternFill patternType="solid">
          <fgColor indexed="64"/>
          <bgColor theme="0" tint="-4.9989318521683403E-2"/>
        </patternFill>
      </fill>
      <protection locked="1" hidden="0"/>
    </dxf>
    <dxf>
      <font>
        <strike val="0"/>
        <outline val="0"/>
        <shadow val="0"/>
        <u val="none"/>
        <vertAlign val="baseline"/>
        <sz val="12"/>
        <name val="Calibri"/>
        <family val="2"/>
      </font>
      <numFmt numFmtId="167" formatCode="0.0"/>
      <fill>
        <patternFill patternType="solid">
          <fgColor indexed="64"/>
          <bgColor theme="0" tint="-4.9989318521683403E-2"/>
        </patternFill>
      </fill>
      <protection locked="1" hidden="0"/>
    </dxf>
    <dxf>
      <font>
        <strike val="0"/>
        <outline val="0"/>
        <shadow val="0"/>
        <u val="none"/>
        <vertAlign val="baseline"/>
        <sz val="12"/>
        <name val="Calibri"/>
        <family val="2"/>
      </font>
      <numFmt numFmtId="167" formatCode="0.0"/>
      <fill>
        <patternFill patternType="solid">
          <fgColor indexed="64"/>
          <bgColor theme="0" tint="-4.9989318521683403E-2"/>
        </patternFill>
      </fill>
      <protection locked="1" hidden="0"/>
    </dxf>
    <dxf>
      <font>
        <strike val="0"/>
        <outline val="0"/>
        <shadow val="0"/>
        <u val="none"/>
        <vertAlign val="baseline"/>
        <sz val="12"/>
        <name val="Calibri"/>
        <family val="2"/>
      </font>
      <numFmt numFmtId="167" formatCode="0.0"/>
      <fill>
        <patternFill patternType="solid">
          <fgColor indexed="64"/>
          <bgColor theme="0" tint="-4.9989318521683403E-2"/>
        </patternFill>
      </fill>
      <protection locked="1" hidden="0"/>
    </dxf>
    <dxf>
      <font>
        <b val="0"/>
        <i val="0"/>
        <strike val="0"/>
        <condense val="0"/>
        <extend val="0"/>
        <outline val="0"/>
        <shadow val="0"/>
        <u val="none"/>
        <vertAlign val="baseline"/>
        <sz val="12"/>
        <color rgb="FF000000"/>
        <name val="Calibri"/>
        <family val="2"/>
        <scheme val="none"/>
      </font>
      <numFmt numFmtId="2" formatCode="0.00"/>
      <fill>
        <patternFill patternType="solid">
          <fgColor indexed="64"/>
          <bgColor theme="0" tint="-4.9989318521683403E-2"/>
        </patternFill>
      </fill>
      <protection locked="0" hidden="0"/>
    </dxf>
    <dxf>
      <font>
        <b val="0"/>
        <i val="0"/>
        <strike val="0"/>
        <condense val="0"/>
        <extend val="0"/>
        <outline val="0"/>
        <shadow val="0"/>
        <u val="none"/>
        <vertAlign val="baseline"/>
        <sz val="12"/>
        <color rgb="FF000000"/>
        <name val="Calibri"/>
        <family val="2"/>
        <scheme val="none"/>
      </font>
      <numFmt numFmtId="2" formatCode="0.00"/>
      <fill>
        <patternFill patternType="solid">
          <fgColor indexed="64"/>
          <bgColor theme="0" tint="-4.9989318521683403E-2"/>
        </patternFill>
      </fill>
      <protection locked="0" hidden="0"/>
    </dxf>
    <dxf>
      <font>
        <strike val="0"/>
        <outline val="0"/>
        <shadow val="0"/>
        <u val="none"/>
        <vertAlign val="baseline"/>
        <sz val="12"/>
        <name val="Calibri"/>
        <family val="2"/>
      </font>
      <numFmt numFmtId="2" formatCode="0.00"/>
      <fill>
        <patternFill patternType="solid">
          <fgColor indexed="64"/>
          <bgColor theme="0" tint="-4.9989318521683403E-2"/>
        </patternFill>
      </fill>
      <protection locked="0" hidden="0"/>
    </dxf>
    <dxf>
      <font>
        <strike val="0"/>
        <outline val="0"/>
        <shadow val="0"/>
        <u val="none"/>
        <vertAlign val="baseline"/>
        <sz val="12"/>
        <color rgb="FF000000"/>
        <name val="Calibri"/>
        <family val="2"/>
        <scheme val="none"/>
      </font>
      <numFmt numFmtId="2" formatCode="0.00"/>
      <fill>
        <patternFill patternType="solid">
          <fgColor indexed="64"/>
          <bgColor theme="0" tint="-4.9989318521683403E-2"/>
        </patternFill>
      </fill>
      <protection locked="0" hidden="0"/>
    </dxf>
    <dxf>
      <font>
        <strike val="0"/>
        <outline val="0"/>
        <shadow val="0"/>
        <u val="none"/>
        <vertAlign val="baseline"/>
        <sz val="12"/>
        <color rgb="FF000000"/>
        <name val="Calibri"/>
        <family val="2"/>
        <scheme val="none"/>
      </font>
      <numFmt numFmtId="2" formatCode="0.00"/>
      <fill>
        <patternFill patternType="solid">
          <fgColor indexed="64"/>
          <bgColor theme="0" tint="-4.9989318521683403E-2"/>
        </patternFill>
      </fill>
      <protection locked="0" hidden="0"/>
    </dxf>
    <dxf>
      <font>
        <b val="0"/>
        <i val="0"/>
        <strike val="0"/>
        <condense val="0"/>
        <extend val="0"/>
        <outline val="0"/>
        <shadow val="0"/>
        <u val="none"/>
        <vertAlign val="baseline"/>
        <sz val="12"/>
        <color rgb="FF000000"/>
        <name val="Calibri"/>
        <family val="2"/>
        <scheme val="none"/>
      </font>
      <numFmt numFmtId="2" formatCode="0.00"/>
      <fill>
        <patternFill patternType="solid">
          <fgColor indexed="64"/>
          <bgColor theme="0" tint="-4.9989318521683403E-2"/>
        </patternFill>
      </fill>
      <protection locked="0" hidden="0"/>
    </dxf>
    <dxf>
      <font>
        <b val="0"/>
        <i val="0"/>
        <strike val="0"/>
        <condense val="0"/>
        <extend val="0"/>
        <outline val="0"/>
        <shadow val="0"/>
        <u val="none"/>
        <vertAlign val="baseline"/>
        <sz val="12"/>
        <color rgb="FF000000"/>
        <name val="Calibri"/>
        <family val="2"/>
        <scheme val="none"/>
      </font>
      <numFmt numFmtId="2" formatCode="0.00"/>
      <fill>
        <patternFill patternType="solid">
          <fgColor indexed="64"/>
          <bgColor theme="0" tint="-4.9989318521683403E-2"/>
        </patternFill>
      </fill>
      <protection locked="0" hidden="0"/>
    </dxf>
    <dxf>
      <font>
        <b val="0"/>
        <i val="0"/>
        <strike val="0"/>
        <condense val="0"/>
        <extend val="0"/>
        <outline val="0"/>
        <shadow val="0"/>
        <u val="none"/>
        <vertAlign val="baseline"/>
        <sz val="12"/>
        <color rgb="FF000000"/>
        <name val="Calibri"/>
        <family val="2"/>
        <scheme val="none"/>
      </font>
      <numFmt numFmtId="2" formatCode="0.00"/>
      <fill>
        <patternFill patternType="solid">
          <fgColor indexed="64"/>
          <bgColor theme="0" tint="-4.9989318521683403E-2"/>
        </patternFill>
      </fill>
      <protection locked="0" hidden="0"/>
    </dxf>
    <dxf>
      <font>
        <b val="0"/>
        <i val="0"/>
        <strike val="0"/>
        <condense val="0"/>
        <extend val="0"/>
        <outline val="0"/>
        <shadow val="0"/>
        <u val="none"/>
        <vertAlign val="baseline"/>
        <sz val="12"/>
        <color rgb="FF000000"/>
        <name val="Calibri"/>
        <family val="2"/>
        <scheme val="none"/>
      </font>
      <numFmt numFmtId="2" formatCode="0.00"/>
      <fill>
        <patternFill patternType="solid">
          <fgColor indexed="64"/>
          <bgColor theme="0" tint="-4.9989318521683403E-2"/>
        </patternFill>
      </fill>
      <protection locked="0" hidden="0"/>
    </dxf>
    <dxf>
      <font>
        <b val="0"/>
        <i val="0"/>
        <strike val="0"/>
        <condense val="0"/>
        <extend val="0"/>
        <outline val="0"/>
        <shadow val="0"/>
        <u val="none"/>
        <vertAlign val="baseline"/>
        <sz val="12"/>
        <color rgb="FF000000"/>
        <name val="Calibri"/>
        <family val="2"/>
        <scheme val="none"/>
      </font>
      <numFmt numFmtId="2" formatCode="0.00"/>
      <fill>
        <patternFill patternType="solid">
          <fgColor indexed="64"/>
          <bgColor theme="0" tint="-4.9989318521683403E-2"/>
        </patternFill>
      </fill>
      <protection locked="0" hidden="0"/>
    </dxf>
    <dxf>
      <font>
        <b val="0"/>
        <i val="0"/>
        <strike val="0"/>
        <condense val="0"/>
        <extend val="0"/>
        <outline val="0"/>
        <shadow val="0"/>
        <u val="none"/>
        <vertAlign val="baseline"/>
        <sz val="12"/>
        <color rgb="FF000000"/>
        <name val="Calibri"/>
        <family val="2"/>
        <scheme val="none"/>
      </font>
      <numFmt numFmtId="2" formatCode="0.00"/>
      <fill>
        <patternFill patternType="solid">
          <fgColor indexed="64"/>
          <bgColor theme="0" tint="-4.9989318521683403E-2"/>
        </patternFill>
      </fill>
      <protection locked="1" hidden="0"/>
    </dxf>
    <dxf>
      <font>
        <b val="0"/>
        <i val="0"/>
        <strike val="0"/>
        <condense val="0"/>
        <extend val="0"/>
        <outline val="0"/>
        <shadow val="0"/>
        <u val="none"/>
        <vertAlign val="baseline"/>
        <sz val="12"/>
        <color rgb="FF000000"/>
        <name val="Calibri"/>
        <family val="2"/>
        <scheme val="none"/>
      </font>
      <numFmt numFmtId="2" formatCode="0.00"/>
      <fill>
        <patternFill patternType="solid">
          <fgColor indexed="64"/>
          <bgColor theme="0" tint="-4.9989318521683403E-2"/>
        </patternFill>
      </fill>
      <protection locked="1" hidden="0"/>
    </dxf>
    <dxf>
      <font>
        <b val="0"/>
        <i val="0"/>
        <strike val="0"/>
        <condense val="0"/>
        <extend val="0"/>
        <outline val="0"/>
        <shadow val="0"/>
        <u val="none"/>
        <vertAlign val="baseline"/>
        <sz val="12"/>
        <color rgb="FF000000"/>
        <name val="Calibri"/>
        <family val="2"/>
        <scheme val="none"/>
      </font>
      <numFmt numFmtId="2" formatCode="0.00"/>
      <fill>
        <patternFill patternType="solid">
          <fgColor indexed="64"/>
          <bgColor theme="0" tint="-4.9989318521683403E-2"/>
        </patternFill>
      </fill>
      <protection locked="1" hidden="0"/>
    </dxf>
    <dxf>
      <font>
        <b val="0"/>
        <i val="0"/>
        <strike val="0"/>
        <condense val="0"/>
        <extend val="0"/>
        <outline val="0"/>
        <shadow val="0"/>
        <u val="none"/>
        <vertAlign val="baseline"/>
        <sz val="12"/>
        <color rgb="FF000000"/>
        <name val="Calibri"/>
        <family val="2"/>
        <scheme val="none"/>
      </font>
      <numFmt numFmtId="13" formatCode="0%"/>
      <fill>
        <patternFill patternType="solid">
          <fgColor indexed="64"/>
          <bgColor theme="0" tint="-4.9989318521683403E-2"/>
        </patternFill>
      </fill>
      <protection locked="0" hidden="0"/>
    </dxf>
    <dxf>
      <font>
        <b val="0"/>
        <i val="0"/>
        <strike val="0"/>
        <condense val="0"/>
        <extend val="0"/>
        <outline val="0"/>
        <shadow val="0"/>
        <u val="none"/>
        <vertAlign val="baseline"/>
        <sz val="12"/>
        <color rgb="FF000000"/>
        <name val="Calibri"/>
        <family val="2"/>
        <scheme val="none"/>
      </font>
      <numFmt numFmtId="13" formatCode="0%"/>
      <fill>
        <patternFill patternType="solid">
          <fgColor indexed="64"/>
          <bgColor theme="0" tint="-4.9989318521683403E-2"/>
        </patternFill>
      </fill>
      <protection locked="0" hidden="0"/>
    </dxf>
    <dxf>
      <font>
        <b val="0"/>
        <i val="0"/>
        <strike val="0"/>
        <condense val="0"/>
        <extend val="0"/>
        <outline val="0"/>
        <shadow val="0"/>
        <u val="none"/>
        <vertAlign val="baseline"/>
        <sz val="12"/>
        <color rgb="FF000000"/>
        <name val="Calibri"/>
        <family val="2"/>
        <scheme val="none"/>
      </font>
      <numFmt numFmtId="0" formatCode="General"/>
      <fill>
        <patternFill patternType="solid">
          <fgColor indexed="64"/>
          <bgColor theme="0" tint="-4.9989318521683403E-2"/>
        </patternFill>
      </fill>
      <protection locked="1" hidden="0"/>
    </dxf>
    <dxf>
      <font>
        <b val="0"/>
        <i val="0"/>
        <strike val="0"/>
        <condense val="0"/>
        <extend val="0"/>
        <outline val="0"/>
        <shadow val="0"/>
        <u val="none"/>
        <vertAlign val="baseline"/>
        <sz val="12"/>
        <color rgb="FF000000"/>
        <name val="Calibri"/>
        <family val="2"/>
        <scheme val="none"/>
      </font>
      <numFmt numFmtId="0" formatCode="General"/>
      <fill>
        <patternFill patternType="solid">
          <fgColor indexed="64"/>
          <bgColor theme="0" tint="-4.9989318521683403E-2"/>
        </patternFill>
      </fill>
      <protection locked="1" hidden="0"/>
    </dxf>
    <dxf>
      <font>
        <b val="0"/>
        <i val="0"/>
        <strike val="0"/>
        <condense val="0"/>
        <extend val="0"/>
        <outline val="0"/>
        <shadow val="0"/>
        <u val="none"/>
        <vertAlign val="baseline"/>
        <sz val="12"/>
        <color rgb="FF000000"/>
        <name val="Calibri"/>
        <family val="2"/>
        <scheme val="none"/>
      </font>
      <fill>
        <patternFill patternType="solid">
          <fgColor indexed="64"/>
          <bgColor theme="0" tint="-4.9989318521683403E-2"/>
        </patternFill>
      </fill>
      <protection locked="0" hidden="0"/>
    </dxf>
    <dxf>
      <font>
        <b val="0"/>
        <i val="0"/>
        <strike val="0"/>
        <condense val="0"/>
        <extend val="0"/>
        <outline val="0"/>
        <shadow val="0"/>
        <u val="none"/>
        <vertAlign val="baseline"/>
        <sz val="12"/>
        <color rgb="FF000000"/>
        <name val="Calibri"/>
        <family val="2"/>
        <scheme val="none"/>
      </font>
      <fill>
        <patternFill patternType="solid">
          <fgColor indexed="64"/>
          <bgColor theme="0" tint="-4.9989318521683403E-2"/>
        </patternFill>
      </fill>
      <protection locked="0" hidden="0"/>
    </dxf>
    <dxf>
      <font>
        <b val="0"/>
        <i val="0"/>
        <strike val="0"/>
        <condense val="0"/>
        <extend val="0"/>
        <outline val="0"/>
        <shadow val="0"/>
        <u val="none"/>
        <vertAlign val="baseline"/>
        <sz val="12"/>
        <color rgb="FF000000"/>
        <name val="Calibri"/>
        <family val="2"/>
        <scheme val="none"/>
      </font>
      <fill>
        <patternFill patternType="solid">
          <fgColor indexed="64"/>
          <bgColor theme="0" tint="-4.9989318521683403E-2"/>
        </patternFill>
      </fill>
      <protection locked="0" hidden="0"/>
    </dxf>
    <dxf>
      <font>
        <b val="0"/>
        <i val="0"/>
        <strike val="0"/>
        <condense val="0"/>
        <extend val="0"/>
        <outline val="0"/>
        <shadow val="0"/>
        <u val="none"/>
        <vertAlign val="baseline"/>
        <sz val="12"/>
        <color rgb="FF000000"/>
        <name val="Calibri"/>
        <family val="2"/>
        <scheme val="none"/>
      </font>
      <numFmt numFmtId="2" formatCode="0.00"/>
      <fill>
        <patternFill patternType="solid">
          <fgColor indexed="64"/>
          <bgColor theme="0" tint="-4.9989318521683403E-2"/>
        </patternFill>
      </fill>
      <protection locked="0" hidden="0"/>
    </dxf>
    <dxf>
      <font>
        <b val="0"/>
        <i val="0"/>
        <strike val="0"/>
        <condense val="0"/>
        <extend val="0"/>
        <outline val="0"/>
        <shadow val="0"/>
        <u val="none"/>
        <vertAlign val="baseline"/>
        <sz val="12"/>
        <color rgb="FF000000"/>
        <name val="Calibri"/>
        <family val="2"/>
        <scheme val="none"/>
      </font>
      <numFmt numFmtId="2" formatCode="0.00"/>
      <fill>
        <patternFill patternType="solid">
          <fgColor indexed="64"/>
          <bgColor theme="0" tint="-4.9989318521683403E-2"/>
        </patternFill>
      </fill>
      <protection locked="0" hidden="0"/>
    </dxf>
    <dxf>
      <font>
        <b val="0"/>
        <i val="0"/>
        <strike val="0"/>
        <condense val="0"/>
        <extend val="0"/>
        <outline val="0"/>
        <shadow val="0"/>
        <u val="none"/>
        <vertAlign val="baseline"/>
        <sz val="12"/>
        <color rgb="FF000000"/>
        <name val="Calibri"/>
        <family val="2"/>
        <scheme val="none"/>
      </font>
      <fill>
        <patternFill patternType="solid">
          <fgColor indexed="64"/>
          <bgColor theme="0" tint="-4.9989318521683403E-2"/>
        </patternFill>
      </fill>
      <protection locked="0" hidden="0"/>
    </dxf>
    <dxf>
      <font>
        <b val="0"/>
        <i val="0"/>
        <strike val="0"/>
        <condense val="0"/>
        <extend val="0"/>
        <outline val="0"/>
        <shadow val="0"/>
        <u val="none"/>
        <vertAlign val="baseline"/>
        <sz val="12"/>
        <color rgb="FF000000"/>
        <name val="Calibri"/>
        <family val="2"/>
        <scheme val="none"/>
      </font>
      <fill>
        <patternFill patternType="solid">
          <fgColor indexed="64"/>
          <bgColor theme="0" tint="-4.9989318521683403E-2"/>
        </patternFill>
      </fill>
      <protection locked="0" hidden="0"/>
    </dxf>
    <dxf>
      <font>
        <b val="0"/>
        <i val="0"/>
        <strike val="0"/>
        <condense val="0"/>
        <extend val="0"/>
        <outline val="0"/>
        <shadow val="0"/>
        <u val="none"/>
        <vertAlign val="baseline"/>
        <sz val="12"/>
        <color rgb="FF000000"/>
        <name val="Calibri"/>
        <family val="2"/>
        <scheme val="none"/>
      </font>
      <numFmt numFmtId="0" formatCode="General"/>
      <fill>
        <patternFill patternType="solid">
          <fgColor indexed="64"/>
          <bgColor theme="0" tint="-4.9989318521683403E-2"/>
        </patternFill>
      </fill>
      <protection locked="0" hidden="0"/>
    </dxf>
    <dxf>
      <font>
        <b val="0"/>
        <i val="0"/>
        <strike val="0"/>
        <condense val="0"/>
        <extend val="0"/>
        <outline val="0"/>
        <shadow val="0"/>
        <u val="none"/>
        <vertAlign val="baseline"/>
        <sz val="12"/>
        <color rgb="FF000000"/>
        <name val="Calibri"/>
        <family val="2"/>
        <scheme val="none"/>
      </font>
      <fill>
        <patternFill patternType="solid">
          <fgColor indexed="64"/>
          <bgColor theme="0" tint="-4.9989318521683403E-2"/>
        </patternFill>
      </fill>
      <protection locked="0" hidden="0"/>
    </dxf>
    <dxf>
      <font>
        <strike val="0"/>
        <outline val="0"/>
        <shadow val="0"/>
        <u val="none"/>
        <vertAlign val="baseline"/>
        <sz val="12"/>
        <name val="Calibri"/>
        <family val="2"/>
      </font>
      <fill>
        <patternFill patternType="solid">
          <fgColor indexed="64"/>
          <bgColor theme="0" tint="-4.9989318521683403E-2"/>
        </patternFill>
      </fill>
      <protection locked="1" hidden="0"/>
    </dxf>
    <dxf>
      <font>
        <b/>
        <i val="0"/>
        <strike val="0"/>
        <condense val="0"/>
        <extend val="0"/>
        <outline val="0"/>
        <shadow val="0"/>
        <u val="none"/>
        <vertAlign val="baseline"/>
        <sz val="12"/>
        <color rgb="FF000000"/>
        <name val="Calibri"/>
        <family val="2"/>
        <scheme val="none"/>
      </font>
      <fill>
        <patternFill patternType="none">
          <fgColor indexed="64"/>
          <bgColor indexed="65"/>
        </patternFill>
      </fill>
      <alignment horizontal="general" vertical="bottom" textRotation="0" wrapText="1" indent="0" justifyLastLine="0" shrinkToFit="0" readingOrder="0"/>
      <protection locked="1" hidden="0"/>
    </dxf>
    <dxf>
      <font>
        <strike val="0"/>
        <outline val="0"/>
        <shadow val="0"/>
        <u val="none"/>
        <vertAlign val="baseline"/>
        <sz val="12"/>
        <color theme="1"/>
        <name val="Calibri"/>
        <family val="2"/>
        <scheme val="minor"/>
      </font>
      <numFmt numFmtId="2" formatCode="0.00"/>
    </dxf>
    <dxf>
      <font>
        <strike val="0"/>
        <outline val="0"/>
        <shadow val="0"/>
        <u val="none"/>
        <vertAlign val="baseline"/>
        <sz val="12"/>
        <color theme="1"/>
        <name val="Calibri"/>
        <family val="2"/>
        <scheme val="minor"/>
      </font>
      <numFmt numFmtId="2" formatCode="0.00"/>
    </dxf>
    <dxf>
      <font>
        <strike val="0"/>
        <outline val="0"/>
        <shadow val="0"/>
        <u val="none"/>
        <vertAlign val="baseline"/>
        <sz val="12"/>
        <color theme="1"/>
        <name val="Calibri"/>
        <family val="2"/>
        <scheme val="minor"/>
      </font>
      <numFmt numFmtId="0" formatCode="General"/>
    </dxf>
    <dxf>
      <font>
        <strike val="0"/>
        <outline val="0"/>
        <shadow val="0"/>
        <u val="none"/>
        <vertAlign val="baseline"/>
        <sz val="12"/>
        <color theme="1"/>
        <name val="Calibri"/>
        <family val="2"/>
        <scheme val="minor"/>
      </font>
      <numFmt numFmtId="2" formatCode="0.00"/>
    </dxf>
    <dxf>
      <font>
        <strike val="0"/>
        <outline val="0"/>
        <shadow val="0"/>
        <u val="none"/>
        <vertAlign val="baseline"/>
        <sz val="12"/>
        <color theme="1"/>
        <name val="Calibri"/>
        <family val="2"/>
        <scheme val="minor"/>
      </font>
      <numFmt numFmtId="2" formatCode="0.00"/>
    </dxf>
    <dxf>
      <font>
        <strike val="0"/>
        <outline val="0"/>
        <shadow val="0"/>
        <u val="none"/>
        <vertAlign val="baseline"/>
        <sz val="12"/>
        <color theme="1"/>
        <name val="Calibri"/>
        <family val="2"/>
        <scheme val="minor"/>
      </font>
      <numFmt numFmtId="2" formatCode="0.00"/>
    </dxf>
    <dxf>
      <font>
        <strike val="0"/>
        <outline val="0"/>
        <shadow val="0"/>
        <u val="none"/>
        <vertAlign val="baseline"/>
        <sz val="12"/>
        <color theme="1"/>
        <name val="Calibri"/>
        <family val="2"/>
        <scheme val="minor"/>
      </font>
      <numFmt numFmtId="2" formatCode="0.00"/>
    </dxf>
    <dxf>
      <font>
        <strike val="0"/>
        <outline val="0"/>
        <shadow val="0"/>
        <u val="none"/>
        <vertAlign val="baseline"/>
        <sz val="12"/>
        <color theme="1"/>
        <name val="Calibri"/>
        <family val="2"/>
        <scheme val="minor"/>
      </font>
      <numFmt numFmtId="2" formatCode="0.00"/>
    </dxf>
    <dxf>
      <font>
        <strike val="0"/>
        <outline val="0"/>
        <shadow val="0"/>
        <u val="none"/>
        <vertAlign val="baseline"/>
        <sz val="12"/>
        <color theme="1"/>
        <name val="Calibri"/>
        <family val="2"/>
        <scheme val="minor"/>
      </font>
      <numFmt numFmtId="2" formatCode="0.00"/>
    </dxf>
    <dxf>
      <font>
        <strike val="0"/>
        <outline val="0"/>
        <shadow val="0"/>
        <u val="none"/>
        <vertAlign val="baseline"/>
        <sz val="12"/>
        <color theme="1"/>
        <name val="Calibri"/>
        <family val="2"/>
        <scheme val="minor"/>
      </font>
      <numFmt numFmtId="2" formatCode="0.00"/>
    </dxf>
    <dxf>
      <font>
        <strike val="0"/>
        <outline val="0"/>
        <shadow val="0"/>
        <u val="none"/>
        <vertAlign val="baseline"/>
        <sz val="12"/>
        <color theme="1"/>
        <name val="Calibri"/>
        <family val="2"/>
        <scheme val="minor"/>
      </font>
      <numFmt numFmtId="0" formatCode="General"/>
    </dxf>
    <dxf>
      <font>
        <strike val="0"/>
        <outline val="0"/>
        <shadow val="0"/>
        <u val="none"/>
        <vertAlign val="baseline"/>
        <sz val="12"/>
        <color theme="1"/>
        <name val="Calibri"/>
        <family val="2"/>
        <scheme val="minor"/>
      </font>
    </dxf>
    <dxf>
      <font>
        <strike val="0"/>
        <outline val="0"/>
        <shadow val="0"/>
        <u val="none"/>
        <vertAlign val="baseline"/>
        <sz val="12"/>
        <color theme="1"/>
        <name val="Calibri"/>
        <family val="2"/>
        <scheme val="minor"/>
      </font>
      <numFmt numFmtId="0" formatCode="General"/>
    </dxf>
    <dxf>
      <font>
        <strike val="0"/>
        <outline val="0"/>
        <shadow val="0"/>
        <u val="none"/>
        <vertAlign val="baseline"/>
        <sz val="12"/>
        <color theme="1"/>
        <name val="Calibri"/>
        <family val="2"/>
        <scheme val="minor"/>
      </font>
    </dxf>
    <dxf>
      <font>
        <strike val="0"/>
        <outline val="0"/>
        <shadow val="0"/>
        <u val="none"/>
        <vertAlign val="baseline"/>
        <sz val="12"/>
        <color theme="1"/>
        <name val="Calibri"/>
        <family val="2"/>
        <scheme val="minor"/>
      </font>
      <alignment horizontal="general" vertical="bottom" textRotation="0" wrapText="1" indent="0" justifyLastLine="0" shrinkToFit="0" readingOrder="0"/>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7" formatCode="0.0"/>
    </dxf>
    <dxf>
      <numFmt numFmtId="167" formatCode="0.0"/>
    </dxf>
    <dxf>
      <numFmt numFmtId="167" formatCode="0.0"/>
    </dxf>
    <dxf>
      <numFmt numFmtId="167" formatCode="0.0"/>
    </dxf>
    <dxf>
      <numFmt numFmtId="167" formatCode="0.0"/>
    </dxf>
    <dxf>
      <numFmt numFmtId="167" formatCode="0.0"/>
    </dxf>
    <dxf>
      <numFmt numFmtId="167" formatCode="0.0"/>
    </dxf>
    <dxf>
      <numFmt numFmtId="167" formatCode="0.0"/>
    </dxf>
    <dxf>
      <numFmt numFmtId="167" formatCode="0.0"/>
    </dxf>
    <dxf>
      <numFmt numFmtId="167" formatCode="0.0"/>
    </dxf>
    <dxf>
      <numFmt numFmtId="167" formatCode="0.0"/>
    </dxf>
    <dxf>
      <numFmt numFmtId="167" formatCode="0.0"/>
    </dxf>
    <dxf>
      <numFmt numFmtId="167" formatCode="0.0"/>
    </dxf>
    <dxf>
      <numFmt numFmtId="167" formatCode="0.0"/>
    </dxf>
    <dxf>
      <numFmt numFmtId="167" formatCode="0.0"/>
    </dxf>
    <dxf>
      <numFmt numFmtId="167" formatCode="0.0"/>
    </dxf>
    <dxf>
      <numFmt numFmtId="167" formatCode="0.0"/>
    </dxf>
    <dxf>
      <numFmt numFmtId="167" formatCode="0.0"/>
    </dxf>
    <dxf>
      <numFmt numFmtId="167" formatCode="0.0"/>
    </dxf>
    <dxf>
      <numFmt numFmtId="167" formatCode="0.0"/>
    </dxf>
    <dxf>
      <numFmt numFmtId="167" formatCode="0.0"/>
    </dxf>
    <dxf>
      <numFmt numFmtId="167" formatCode="0.0"/>
    </dxf>
    <dxf>
      <numFmt numFmtId="167" formatCode="0.0"/>
    </dxf>
    <dxf>
      <numFmt numFmtId="167" formatCode="0.0"/>
    </dxf>
    <dxf>
      <numFmt numFmtId="167" formatCode="0.0"/>
    </dxf>
    <dxf>
      <numFmt numFmtId="167" formatCode="0.0"/>
    </dxf>
    <dxf>
      <numFmt numFmtId="167" formatCode="0.0"/>
    </dxf>
    <dxf>
      <font>
        <b val="0"/>
        <i val="0"/>
        <strike val="0"/>
        <condense val="0"/>
        <extend val="0"/>
        <outline val="0"/>
        <shadow val="0"/>
        <u val="none"/>
        <vertAlign val="baseline"/>
        <sz val="16"/>
        <color rgb="FF000000"/>
        <name val="Calibri"/>
        <family val="2"/>
        <scheme val="none"/>
      </font>
      <fill>
        <patternFill patternType="solid">
          <fgColor indexed="64"/>
          <bgColor theme="7" tint="0.79998168889431442"/>
        </patternFill>
      </fill>
    </dxf>
    <dxf>
      <font>
        <b val="0"/>
        <i val="0"/>
        <strike val="0"/>
        <condense val="0"/>
        <extend val="0"/>
        <outline val="0"/>
        <shadow val="0"/>
        <u val="none"/>
        <vertAlign val="baseline"/>
        <sz val="16"/>
        <color rgb="FF000000"/>
        <name val="Calibri"/>
        <family val="2"/>
        <scheme val="none"/>
      </font>
      <fill>
        <patternFill patternType="solid">
          <fgColor indexed="64"/>
          <bgColor theme="4" tint="0.79998168889431442"/>
        </patternFill>
      </fill>
    </dxf>
    <dxf>
      <font>
        <sz val="16"/>
        <color rgb="FF000000"/>
      </font>
      <fill>
        <patternFill patternType="solid">
          <fgColor indexed="64"/>
          <bgColor theme="0" tint="-4.9989318521683403E-2"/>
        </patternFill>
      </fill>
      <protection locked="1" hidden="0"/>
    </dxf>
    <dxf>
      <font>
        <b val="0"/>
        <i val="0"/>
        <strike val="0"/>
        <condense val="0"/>
        <extend val="0"/>
        <outline val="0"/>
        <shadow val="0"/>
        <u val="none"/>
        <vertAlign val="baseline"/>
        <sz val="16"/>
        <color rgb="FF000000"/>
        <name val="Calibri"/>
        <family val="2"/>
        <scheme val="none"/>
      </font>
      <numFmt numFmtId="0" formatCode="General"/>
      <fill>
        <patternFill patternType="solid">
          <fgColor indexed="64"/>
          <bgColor theme="0" tint="-4.9989318521683403E-2"/>
        </patternFill>
      </fill>
    </dxf>
    <dxf>
      <font>
        <b val="0"/>
        <i val="0"/>
        <strike val="0"/>
        <condense val="0"/>
        <extend val="0"/>
        <outline val="0"/>
        <shadow val="0"/>
        <u val="none"/>
        <vertAlign val="baseline"/>
        <sz val="16"/>
        <color rgb="FF000000"/>
        <name val="Calibri"/>
        <family val="2"/>
        <scheme val="none"/>
      </font>
      <fill>
        <patternFill patternType="solid">
          <fgColor indexed="64"/>
          <bgColor theme="0" tint="-4.9989318521683403E-2"/>
        </patternFill>
      </fill>
    </dxf>
    <dxf>
      <font>
        <b val="0"/>
        <i val="0"/>
        <strike val="0"/>
        <condense val="0"/>
        <extend val="0"/>
        <outline val="0"/>
        <shadow val="0"/>
        <u val="none"/>
        <vertAlign val="baseline"/>
        <sz val="16"/>
        <color rgb="FF000000"/>
        <name val="Calibri"/>
        <family val="2"/>
        <scheme val="none"/>
      </font>
      <fill>
        <patternFill patternType="solid">
          <fgColor indexed="64"/>
          <bgColor theme="0" tint="-4.9989318521683403E-2"/>
        </patternFill>
      </fill>
    </dxf>
    <dxf>
      <font>
        <b/>
        <i val="0"/>
        <strike val="0"/>
        <condense val="0"/>
        <extend val="0"/>
        <outline val="0"/>
        <shadow val="0"/>
        <u val="none"/>
        <vertAlign val="baseline"/>
        <sz val="14"/>
        <color rgb="FF000000"/>
        <name val="Calibri"/>
        <family val="2"/>
        <scheme val="none"/>
      </font>
      <alignment horizontal="general" vertical="bottom" textRotation="0" wrapText="1" indent="0" justifyLastLine="0" shrinkToFit="0" readingOrder="0"/>
    </dxf>
    <dxf>
      <font>
        <strike val="0"/>
        <outline val="0"/>
        <shadow val="0"/>
        <u val="none"/>
        <vertAlign val="baseline"/>
        <sz val="14"/>
        <name val="Calibri"/>
        <family val="2"/>
      </font>
      <numFmt numFmtId="15" formatCode="0.00E+00"/>
      <fill>
        <patternFill patternType="solid">
          <fgColor indexed="64"/>
          <bgColor theme="0" tint="-4.9989318521683403E-2"/>
        </patternFill>
      </fill>
      <protection locked="0" hidden="0"/>
    </dxf>
    <dxf>
      <font>
        <strike val="0"/>
        <outline val="0"/>
        <shadow val="0"/>
        <u val="none"/>
        <vertAlign val="baseline"/>
        <sz val="14"/>
        <name val="Calibri"/>
        <family val="2"/>
      </font>
      <numFmt numFmtId="15" formatCode="0.00E+00"/>
      <fill>
        <patternFill patternType="solid">
          <fgColor indexed="64"/>
          <bgColor theme="0" tint="-4.9989318521683403E-2"/>
        </patternFill>
      </fill>
      <protection locked="0" hidden="0"/>
    </dxf>
    <dxf>
      <font>
        <strike val="0"/>
        <outline val="0"/>
        <shadow val="0"/>
        <u val="none"/>
        <vertAlign val="baseline"/>
        <sz val="14"/>
        <name val="Calibri"/>
        <family val="2"/>
      </font>
      <numFmt numFmtId="15" formatCode="0.00E+00"/>
      <fill>
        <patternFill patternType="solid">
          <fgColor indexed="64"/>
          <bgColor theme="0" tint="-4.9989318521683403E-2"/>
        </patternFill>
      </fill>
      <protection locked="0" hidden="0"/>
    </dxf>
    <dxf>
      <font>
        <strike val="0"/>
        <outline val="0"/>
        <shadow val="0"/>
        <u val="none"/>
        <vertAlign val="baseline"/>
        <sz val="14"/>
        <name val="Calibri"/>
        <family val="2"/>
      </font>
      <numFmt numFmtId="167" formatCode="0.0"/>
      <fill>
        <patternFill patternType="solid">
          <fgColor indexed="64"/>
          <bgColor theme="0" tint="-4.9989318521683403E-2"/>
        </patternFill>
      </fill>
      <protection locked="1" hidden="0"/>
    </dxf>
    <dxf>
      <font>
        <strike val="0"/>
        <outline val="0"/>
        <shadow val="0"/>
        <u val="none"/>
        <vertAlign val="baseline"/>
        <sz val="14"/>
        <name val="Calibri"/>
        <family val="2"/>
      </font>
      <numFmt numFmtId="167" formatCode="0.0"/>
      <fill>
        <patternFill patternType="solid">
          <fgColor indexed="64"/>
          <bgColor theme="0" tint="-4.9989318521683403E-2"/>
        </patternFill>
      </fill>
      <protection locked="1" hidden="0"/>
    </dxf>
    <dxf>
      <font>
        <strike val="0"/>
        <outline val="0"/>
        <shadow val="0"/>
        <u val="none"/>
        <vertAlign val="baseline"/>
        <sz val="14"/>
        <name val="Calibri"/>
        <family val="2"/>
      </font>
      <numFmt numFmtId="167" formatCode="0.0"/>
      <fill>
        <patternFill patternType="solid">
          <fgColor indexed="64"/>
          <bgColor theme="0" tint="-4.9989318521683403E-2"/>
        </patternFill>
      </fill>
      <protection locked="1" hidden="0"/>
    </dxf>
    <dxf>
      <font>
        <strike val="0"/>
        <outline val="0"/>
        <shadow val="0"/>
        <u val="none"/>
        <vertAlign val="baseline"/>
        <sz val="14"/>
        <name val="Calibri"/>
        <family val="2"/>
      </font>
      <numFmt numFmtId="167" formatCode="0.0"/>
      <fill>
        <patternFill patternType="solid">
          <fgColor indexed="64"/>
          <bgColor theme="0" tint="-4.9989318521683403E-2"/>
        </patternFill>
      </fill>
      <protection locked="1" hidden="0"/>
    </dxf>
    <dxf>
      <font>
        <strike val="0"/>
        <outline val="0"/>
        <shadow val="0"/>
        <u val="none"/>
        <vertAlign val="baseline"/>
        <sz val="14"/>
        <name val="Calibri"/>
        <family val="2"/>
      </font>
      <numFmt numFmtId="167" formatCode="0.0"/>
      <fill>
        <patternFill patternType="solid">
          <fgColor indexed="64"/>
          <bgColor theme="0" tint="-4.9989318521683403E-2"/>
        </patternFill>
      </fill>
      <protection locked="1" hidden="0"/>
    </dxf>
    <dxf>
      <font>
        <strike val="0"/>
        <outline val="0"/>
        <shadow val="0"/>
        <u val="none"/>
        <vertAlign val="baseline"/>
        <sz val="14"/>
        <name val="Calibri"/>
        <family val="2"/>
      </font>
      <numFmt numFmtId="167" formatCode="0.0"/>
      <fill>
        <patternFill patternType="solid">
          <fgColor indexed="64"/>
          <bgColor theme="0" tint="-4.9989318521683403E-2"/>
        </patternFill>
      </fill>
      <protection locked="1" hidden="0"/>
    </dxf>
    <dxf>
      <font>
        <strike val="0"/>
        <outline val="0"/>
        <shadow val="0"/>
        <u val="none"/>
        <vertAlign val="baseline"/>
        <sz val="14"/>
        <name val="Calibri"/>
        <family val="2"/>
      </font>
      <numFmt numFmtId="167" formatCode="0.0"/>
      <fill>
        <patternFill patternType="solid">
          <fgColor indexed="64"/>
          <bgColor theme="0" tint="-4.9989318521683403E-2"/>
        </patternFill>
      </fill>
      <protection locked="1" hidden="0"/>
    </dxf>
    <dxf>
      <font>
        <strike val="0"/>
        <outline val="0"/>
        <shadow val="0"/>
        <u val="none"/>
        <vertAlign val="baseline"/>
        <sz val="14"/>
        <name val="Calibri"/>
        <family val="2"/>
      </font>
      <numFmt numFmtId="167" formatCode="0.0"/>
      <fill>
        <patternFill patternType="solid">
          <fgColor indexed="64"/>
          <bgColor theme="0" tint="-4.9989318521683403E-2"/>
        </patternFill>
      </fill>
      <protection locked="1" hidden="0"/>
    </dxf>
    <dxf>
      <font>
        <strike val="0"/>
        <outline val="0"/>
        <shadow val="0"/>
        <u val="none"/>
        <vertAlign val="baseline"/>
        <sz val="14"/>
        <name val="Calibri"/>
        <family val="2"/>
      </font>
      <numFmt numFmtId="167" formatCode="0.0"/>
      <fill>
        <patternFill patternType="solid">
          <fgColor indexed="64"/>
          <bgColor theme="0" tint="-4.9989318521683403E-2"/>
        </patternFill>
      </fill>
      <protection locked="1" hidden="0"/>
    </dxf>
    <dxf>
      <font>
        <strike val="0"/>
        <outline val="0"/>
        <shadow val="0"/>
        <u val="none"/>
        <vertAlign val="baseline"/>
        <sz val="14"/>
        <name val="Calibri"/>
        <family val="2"/>
      </font>
      <numFmt numFmtId="167" formatCode="0.0"/>
      <fill>
        <patternFill patternType="solid">
          <fgColor indexed="64"/>
          <bgColor theme="0" tint="-4.9989318521683403E-2"/>
        </patternFill>
      </fill>
      <protection locked="1" hidden="0"/>
    </dxf>
    <dxf>
      <font>
        <strike val="0"/>
        <outline val="0"/>
        <shadow val="0"/>
        <u val="none"/>
        <vertAlign val="baseline"/>
        <sz val="14"/>
        <name val="Calibri"/>
        <family val="2"/>
      </font>
      <numFmt numFmtId="167" formatCode="0.0"/>
      <fill>
        <patternFill patternType="solid">
          <fgColor indexed="64"/>
          <bgColor theme="0" tint="-4.9989318521683403E-2"/>
        </patternFill>
      </fill>
      <protection locked="1" hidden="0"/>
    </dxf>
    <dxf>
      <font>
        <strike val="0"/>
        <outline val="0"/>
        <shadow val="0"/>
        <u val="none"/>
        <vertAlign val="baseline"/>
        <sz val="14"/>
        <name val="Calibri"/>
        <family val="2"/>
      </font>
      <numFmt numFmtId="167" formatCode="0.0"/>
      <fill>
        <patternFill patternType="solid">
          <fgColor indexed="64"/>
          <bgColor theme="0" tint="-4.9989318521683403E-2"/>
        </patternFill>
      </fill>
      <protection locked="1" hidden="0"/>
    </dxf>
    <dxf>
      <font>
        <strike val="0"/>
        <outline val="0"/>
        <shadow val="0"/>
        <u val="none"/>
        <vertAlign val="baseline"/>
        <sz val="14"/>
        <name val="Calibri"/>
        <family val="2"/>
      </font>
      <numFmt numFmtId="167" formatCode="0.0"/>
      <fill>
        <patternFill patternType="solid">
          <fgColor indexed="64"/>
          <bgColor theme="0" tint="-4.9989318521683403E-2"/>
        </patternFill>
      </fill>
      <protection locked="1" hidden="0"/>
    </dxf>
    <dxf>
      <font>
        <strike val="0"/>
        <outline val="0"/>
        <shadow val="0"/>
        <u val="none"/>
        <vertAlign val="baseline"/>
        <sz val="14"/>
        <name val="Calibri"/>
        <family val="2"/>
      </font>
      <numFmt numFmtId="167" formatCode="0.0"/>
      <fill>
        <patternFill patternType="solid">
          <fgColor indexed="64"/>
          <bgColor theme="0" tint="-4.9989318521683403E-2"/>
        </patternFill>
      </fill>
      <protection locked="1" hidden="0"/>
    </dxf>
    <dxf>
      <font>
        <strike val="0"/>
        <outline val="0"/>
        <shadow val="0"/>
        <u val="none"/>
        <vertAlign val="baseline"/>
        <sz val="14"/>
        <name val="Calibri"/>
        <family val="2"/>
      </font>
      <numFmt numFmtId="167" formatCode="0.0"/>
      <fill>
        <patternFill patternType="solid">
          <fgColor indexed="64"/>
          <bgColor theme="0" tint="-4.9989318521683403E-2"/>
        </patternFill>
      </fill>
      <protection locked="1" hidden="0"/>
    </dxf>
    <dxf>
      <font>
        <strike val="0"/>
        <outline val="0"/>
        <shadow val="0"/>
        <u val="none"/>
        <vertAlign val="baseline"/>
        <sz val="14"/>
        <name val="Calibri"/>
        <family val="2"/>
      </font>
      <numFmt numFmtId="167" formatCode="0.0"/>
      <fill>
        <patternFill patternType="solid">
          <fgColor indexed="64"/>
          <bgColor theme="0" tint="-4.9989318521683403E-2"/>
        </patternFill>
      </fill>
      <protection locked="1" hidden="0"/>
    </dxf>
    <dxf>
      <font>
        <strike val="0"/>
        <outline val="0"/>
        <shadow val="0"/>
        <u val="none"/>
        <vertAlign val="baseline"/>
        <sz val="14"/>
        <name val="Calibri"/>
        <family val="2"/>
      </font>
      <numFmt numFmtId="167" formatCode="0.0"/>
      <fill>
        <patternFill patternType="solid">
          <fgColor indexed="64"/>
          <bgColor theme="0" tint="-4.9989318521683403E-2"/>
        </patternFill>
      </fill>
      <protection locked="1" hidden="0"/>
    </dxf>
    <dxf>
      <font>
        <strike val="0"/>
        <outline val="0"/>
        <shadow val="0"/>
        <u val="none"/>
        <vertAlign val="baseline"/>
        <sz val="14"/>
        <name val="Calibri"/>
        <family val="2"/>
      </font>
      <numFmt numFmtId="167" formatCode="0.0"/>
      <fill>
        <patternFill patternType="solid">
          <fgColor indexed="64"/>
          <bgColor theme="0" tint="-4.9989318521683403E-2"/>
        </patternFill>
      </fill>
      <protection locked="1" hidden="0"/>
    </dxf>
    <dxf>
      <font>
        <b val="0"/>
        <i val="0"/>
        <strike val="0"/>
        <condense val="0"/>
        <extend val="0"/>
        <outline val="0"/>
        <shadow val="0"/>
        <u val="none"/>
        <vertAlign val="baseline"/>
        <sz val="14"/>
        <color rgb="FF000000"/>
        <name val="Calibri"/>
        <family val="2"/>
        <scheme val="none"/>
      </font>
      <numFmt numFmtId="167" formatCode="0.0"/>
      <fill>
        <patternFill patternType="solid">
          <fgColor indexed="64"/>
          <bgColor theme="0" tint="-4.9989318521683403E-2"/>
        </patternFill>
      </fill>
      <protection locked="0" hidden="0"/>
    </dxf>
    <dxf>
      <font>
        <b val="0"/>
        <i val="0"/>
        <strike val="0"/>
        <condense val="0"/>
        <extend val="0"/>
        <outline val="0"/>
        <shadow val="0"/>
        <u val="none"/>
        <vertAlign val="baseline"/>
        <sz val="14"/>
        <color rgb="FF000000"/>
        <name val="Calibri"/>
        <family val="2"/>
        <scheme val="none"/>
      </font>
      <numFmt numFmtId="167" formatCode="0.0"/>
      <fill>
        <patternFill patternType="solid">
          <fgColor indexed="64"/>
          <bgColor theme="0" tint="-4.9989318521683403E-2"/>
        </patternFill>
      </fill>
      <protection locked="1" hidden="0"/>
    </dxf>
    <dxf>
      <font>
        <b val="0"/>
        <i val="0"/>
        <strike val="0"/>
        <condense val="0"/>
        <extend val="0"/>
        <outline val="0"/>
        <shadow val="0"/>
        <u val="none"/>
        <vertAlign val="baseline"/>
        <sz val="14"/>
        <color rgb="FF000000"/>
        <name val="Calibri"/>
        <family val="2"/>
        <scheme val="none"/>
      </font>
      <numFmt numFmtId="167" formatCode="0.0"/>
      <fill>
        <patternFill patternType="solid">
          <fgColor indexed="64"/>
          <bgColor theme="0" tint="-4.9989318521683403E-2"/>
        </patternFill>
      </fill>
      <protection locked="1" hidden="0"/>
    </dxf>
    <dxf>
      <font>
        <b val="0"/>
        <i val="0"/>
        <strike val="0"/>
        <condense val="0"/>
        <extend val="0"/>
        <outline val="0"/>
        <shadow val="0"/>
        <u val="none"/>
        <vertAlign val="baseline"/>
        <sz val="14"/>
        <color rgb="FF000000"/>
        <name val="Calibri"/>
        <family val="2"/>
        <scheme val="none"/>
      </font>
      <numFmt numFmtId="167" formatCode="0.0"/>
      <fill>
        <patternFill patternType="solid">
          <fgColor indexed="64"/>
          <bgColor theme="0" tint="-4.9989318521683403E-2"/>
        </patternFill>
      </fill>
      <protection locked="1" hidden="0"/>
    </dxf>
    <dxf>
      <font>
        <b val="0"/>
        <i val="0"/>
        <strike val="0"/>
        <condense val="0"/>
        <extend val="0"/>
        <outline val="0"/>
        <shadow val="0"/>
        <u val="none"/>
        <vertAlign val="baseline"/>
        <sz val="14"/>
        <color rgb="FF000000"/>
        <name val="Calibri"/>
        <family val="2"/>
        <scheme val="none"/>
      </font>
      <numFmt numFmtId="167" formatCode="0.0"/>
      <fill>
        <patternFill patternType="solid">
          <fgColor indexed="64"/>
          <bgColor theme="4" tint="0.79998168889431442"/>
        </patternFill>
      </fill>
      <protection locked="0" hidden="0"/>
    </dxf>
    <dxf>
      <font>
        <b val="0"/>
        <i val="0"/>
        <strike val="0"/>
        <condense val="0"/>
        <extend val="0"/>
        <outline val="0"/>
        <shadow val="0"/>
        <u val="none"/>
        <vertAlign val="baseline"/>
        <sz val="14"/>
        <color rgb="FF000000"/>
        <name val="Calibri"/>
        <family val="2"/>
        <scheme val="none"/>
      </font>
      <numFmt numFmtId="167" formatCode="0.0"/>
      <fill>
        <patternFill patternType="solid">
          <fgColor indexed="64"/>
          <bgColor theme="4" tint="0.79998168889431442"/>
        </patternFill>
      </fill>
      <protection locked="0" hidden="0"/>
    </dxf>
    <dxf>
      <font>
        <b val="0"/>
        <i val="0"/>
        <strike val="0"/>
        <condense val="0"/>
        <extend val="0"/>
        <outline val="0"/>
        <shadow val="0"/>
        <u val="none"/>
        <vertAlign val="baseline"/>
        <sz val="14"/>
        <color rgb="FF000000"/>
        <name val="Calibri"/>
        <family val="2"/>
        <scheme val="none"/>
      </font>
      <numFmt numFmtId="167" formatCode="0.0"/>
      <fill>
        <patternFill patternType="solid">
          <fgColor indexed="64"/>
          <bgColor theme="4" tint="0.79998168889431442"/>
        </patternFill>
      </fill>
      <protection locked="0" hidden="0"/>
    </dxf>
    <dxf>
      <font>
        <b val="0"/>
        <i val="0"/>
        <strike val="0"/>
        <condense val="0"/>
        <extend val="0"/>
        <outline val="0"/>
        <shadow val="0"/>
        <u val="none"/>
        <vertAlign val="baseline"/>
        <sz val="14"/>
        <color rgb="FF000000"/>
        <name val="Calibri"/>
        <family val="2"/>
        <scheme val="none"/>
      </font>
      <numFmt numFmtId="167" formatCode="0.0"/>
      <fill>
        <patternFill patternType="solid">
          <fgColor indexed="64"/>
          <bgColor theme="4" tint="0.79998168889431442"/>
        </patternFill>
      </fill>
      <protection locked="0" hidden="0"/>
    </dxf>
    <dxf>
      <font>
        <b val="0"/>
        <i val="0"/>
        <strike val="0"/>
        <condense val="0"/>
        <extend val="0"/>
        <outline val="0"/>
        <shadow val="0"/>
        <u val="none"/>
        <vertAlign val="baseline"/>
        <sz val="14"/>
        <color rgb="FF000000"/>
        <name val="Calibri"/>
        <family val="2"/>
        <scheme val="none"/>
      </font>
      <numFmt numFmtId="167" formatCode="0.0"/>
      <fill>
        <patternFill patternType="solid">
          <fgColor indexed="64"/>
          <bgColor theme="0" tint="-4.9989318521683403E-2"/>
        </patternFill>
      </fill>
      <protection locked="1" hidden="0"/>
    </dxf>
    <dxf>
      <font>
        <strike val="0"/>
        <outline val="0"/>
        <shadow val="0"/>
        <u val="none"/>
        <vertAlign val="baseline"/>
        <sz val="14"/>
        <color rgb="FF000000"/>
        <name val="Calibri"/>
        <family val="2"/>
        <scheme val="none"/>
      </font>
      <numFmt numFmtId="167" formatCode="0.0"/>
      <fill>
        <patternFill patternType="solid">
          <fgColor indexed="64"/>
          <bgColor theme="0" tint="-4.9989318521683403E-2"/>
        </patternFill>
      </fill>
      <protection locked="1" hidden="0"/>
    </dxf>
    <dxf>
      <font>
        <strike val="0"/>
        <outline val="0"/>
        <shadow val="0"/>
        <u val="none"/>
        <vertAlign val="baseline"/>
        <sz val="14"/>
        <color rgb="FF000000"/>
        <name val="Calibri"/>
        <family val="2"/>
        <scheme val="none"/>
      </font>
      <numFmt numFmtId="167" formatCode="0.0"/>
      <fill>
        <patternFill patternType="solid">
          <fgColor indexed="64"/>
          <bgColor theme="0" tint="-4.9989318521683403E-2"/>
        </patternFill>
      </fill>
      <protection locked="1" hidden="0"/>
    </dxf>
    <dxf>
      <font>
        <strike val="0"/>
        <outline val="0"/>
        <shadow val="0"/>
        <u val="none"/>
        <vertAlign val="baseline"/>
        <sz val="14"/>
        <color rgb="FF000000"/>
        <name val="Calibri"/>
        <family val="2"/>
        <scheme val="none"/>
      </font>
      <numFmt numFmtId="167" formatCode="0.0"/>
      <fill>
        <patternFill patternType="solid">
          <fgColor indexed="64"/>
          <bgColor theme="0" tint="-4.9989318521683403E-2"/>
        </patternFill>
      </fill>
      <protection locked="1" hidden="0"/>
    </dxf>
    <dxf>
      <font>
        <b val="0"/>
        <i val="0"/>
        <strike val="0"/>
        <condense val="0"/>
        <extend val="0"/>
        <outline val="0"/>
        <shadow val="0"/>
        <u val="none"/>
        <vertAlign val="baseline"/>
        <sz val="14"/>
        <color rgb="FF000000"/>
        <name val="Calibri"/>
        <family val="2"/>
        <scheme val="none"/>
      </font>
      <numFmt numFmtId="167" formatCode="0.0"/>
      <fill>
        <patternFill patternType="solid">
          <fgColor indexed="64"/>
          <bgColor theme="0" tint="-4.9989318521683403E-2"/>
        </patternFill>
      </fill>
      <protection locked="1" hidden="0"/>
    </dxf>
    <dxf>
      <font>
        <b val="0"/>
        <i val="0"/>
        <strike val="0"/>
        <condense val="0"/>
        <extend val="0"/>
        <outline val="0"/>
        <shadow val="0"/>
        <u val="none"/>
        <vertAlign val="baseline"/>
        <sz val="14"/>
        <color rgb="FF000000"/>
        <name val="Calibri"/>
        <family val="2"/>
        <scheme val="none"/>
      </font>
      <numFmt numFmtId="167" formatCode="0.0"/>
      <fill>
        <patternFill patternType="solid">
          <fgColor indexed="64"/>
          <bgColor theme="4" tint="0.79998168889431442"/>
        </patternFill>
      </fill>
      <protection locked="0" hidden="0"/>
    </dxf>
    <dxf>
      <font>
        <b val="0"/>
        <i val="0"/>
        <strike val="0"/>
        <condense val="0"/>
        <extend val="0"/>
        <outline val="0"/>
        <shadow val="0"/>
        <u val="none"/>
        <vertAlign val="baseline"/>
        <sz val="14"/>
        <color rgb="FF000000"/>
        <name val="Calibri"/>
        <family val="2"/>
        <scheme val="none"/>
      </font>
      <numFmt numFmtId="167" formatCode="0.0"/>
      <fill>
        <patternFill patternType="solid">
          <fgColor indexed="64"/>
          <bgColor theme="0" tint="-4.9989318521683403E-2"/>
        </patternFill>
      </fill>
      <protection locked="1" hidden="0"/>
    </dxf>
    <dxf>
      <font>
        <b val="0"/>
        <i val="0"/>
        <strike val="0"/>
        <condense val="0"/>
        <extend val="0"/>
        <outline val="0"/>
        <shadow val="0"/>
        <u val="none"/>
        <vertAlign val="baseline"/>
        <sz val="14"/>
        <color rgb="FF000000"/>
        <name val="Calibri"/>
        <family val="2"/>
        <scheme val="none"/>
      </font>
      <numFmt numFmtId="167" formatCode="0.0"/>
      <fill>
        <patternFill patternType="solid">
          <fgColor indexed="64"/>
          <bgColor theme="0" tint="-4.9989318521683403E-2"/>
        </patternFill>
      </fill>
      <protection locked="1" hidden="0"/>
    </dxf>
    <dxf>
      <font>
        <b val="0"/>
        <i val="0"/>
        <strike val="0"/>
        <condense val="0"/>
        <extend val="0"/>
        <outline val="0"/>
        <shadow val="0"/>
        <u val="none"/>
        <vertAlign val="baseline"/>
        <sz val="14"/>
        <color rgb="FF000000"/>
        <name val="Calibri"/>
        <family val="2"/>
        <scheme val="none"/>
      </font>
      <numFmt numFmtId="167" formatCode="0.0"/>
      <fill>
        <patternFill patternType="solid">
          <fgColor indexed="64"/>
          <bgColor theme="0" tint="-4.9989318521683403E-2"/>
        </patternFill>
      </fill>
      <protection locked="1" hidden="0"/>
    </dxf>
    <dxf>
      <font>
        <b val="0"/>
        <i val="0"/>
        <strike val="0"/>
        <condense val="0"/>
        <extend val="0"/>
        <outline val="0"/>
        <shadow val="0"/>
        <u val="none"/>
        <vertAlign val="baseline"/>
        <sz val="14"/>
        <color rgb="FF000000"/>
        <name val="Calibri"/>
        <family val="2"/>
        <scheme val="none"/>
      </font>
      <fill>
        <patternFill patternType="solid">
          <fgColor indexed="64"/>
          <bgColor theme="4" tint="0.79998168889431442"/>
        </patternFill>
      </fill>
      <protection locked="0" hidden="0"/>
    </dxf>
    <dxf>
      <font>
        <b val="0"/>
        <i val="0"/>
        <strike val="0"/>
        <condense val="0"/>
        <extend val="0"/>
        <outline val="0"/>
        <shadow val="0"/>
        <u val="none"/>
        <vertAlign val="baseline"/>
        <sz val="14"/>
        <color rgb="FF000000"/>
        <name val="Calibri"/>
        <family val="2"/>
        <scheme val="none"/>
      </font>
      <numFmt numFmtId="13" formatCode="0%"/>
      <fill>
        <patternFill patternType="solid">
          <fgColor indexed="64"/>
          <bgColor theme="9" tint="0.79998168889431442"/>
        </patternFill>
      </fill>
      <protection locked="0" hidden="0"/>
    </dxf>
    <dxf>
      <font>
        <b val="0"/>
        <i val="0"/>
        <strike val="0"/>
        <condense val="0"/>
        <extend val="0"/>
        <outline val="0"/>
        <shadow val="0"/>
        <u val="none"/>
        <vertAlign val="baseline"/>
        <sz val="14"/>
        <color rgb="FF000000"/>
        <name val="Calibri"/>
        <family val="2"/>
        <scheme val="none"/>
      </font>
      <numFmt numFmtId="0" formatCode="General"/>
      <fill>
        <patternFill patternType="solid">
          <fgColor indexed="64"/>
          <bgColor theme="0" tint="-4.9989318521683403E-2"/>
        </patternFill>
      </fill>
      <protection locked="1" hidden="0"/>
    </dxf>
    <dxf>
      <font>
        <b val="0"/>
        <i val="0"/>
        <strike val="0"/>
        <condense val="0"/>
        <extend val="0"/>
        <outline val="0"/>
        <shadow val="0"/>
        <u val="none"/>
        <vertAlign val="baseline"/>
        <sz val="14"/>
        <color rgb="FF000000"/>
        <name val="Calibri"/>
        <family val="2"/>
        <scheme val="none"/>
      </font>
      <numFmt numFmtId="0" formatCode="General"/>
      <fill>
        <patternFill patternType="solid">
          <fgColor indexed="64"/>
          <bgColor theme="0" tint="-4.9989318521683403E-2"/>
        </patternFill>
      </fill>
      <protection locked="1" hidden="0"/>
    </dxf>
    <dxf>
      <font>
        <b val="0"/>
        <i val="0"/>
        <strike val="0"/>
        <condense val="0"/>
        <extend val="0"/>
        <outline val="0"/>
        <shadow val="0"/>
        <u val="none"/>
        <vertAlign val="baseline"/>
        <sz val="14"/>
        <color rgb="FF000000"/>
        <name val="Calibri"/>
        <family val="2"/>
        <scheme val="none"/>
      </font>
      <numFmt numFmtId="0" formatCode="General"/>
      <fill>
        <patternFill patternType="solid">
          <fgColor indexed="64"/>
          <bgColor theme="9" tint="0.79998168889431442"/>
        </patternFill>
      </fill>
      <protection locked="0" hidden="0"/>
    </dxf>
    <dxf>
      <font>
        <b val="0"/>
        <i val="0"/>
        <strike val="0"/>
        <condense val="0"/>
        <extend val="0"/>
        <outline val="0"/>
        <shadow val="0"/>
        <u val="none"/>
        <vertAlign val="baseline"/>
        <sz val="14"/>
        <color rgb="FF000000"/>
        <name val="Calibri"/>
        <family val="2"/>
        <scheme val="none"/>
      </font>
      <fill>
        <patternFill patternType="solid">
          <fgColor indexed="64"/>
          <bgColor theme="7" tint="0.79998168889431442"/>
        </patternFill>
      </fill>
      <protection locked="0" hidden="0"/>
    </dxf>
    <dxf>
      <font>
        <b val="0"/>
        <i val="0"/>
        <strike val="0"/>
        <condense val="0"/>
        <extend val="0"/>
        <outline val="0"/>
        <shadow val="0"/>
        <u val="none"/>
        <vertAlign val="baseline"/>
        <sz val="14"/>
        <color rgb="FF000000"/>
        <name val="Calibri"/>
        <family val="2"/>
        <scheme val="none"/>
      </font>
      <fill>
        <patternFill patternType="solid">
          <fgColor indexed="64"/>
          <bgColor theme="7" tint="0.79998168889431442"/>
        </patternFill>
      </fill>
      <protection locked="0" hidden="0"/>
    </dxf>
    <dxf>
      <font>
        <b val="0"/>
        <i val="0"/>
        <strike val="0"/>
        <condense val="0"/>
        <extend val="0"/>
        <outline val="0"/>
        <shadow val="0"/>
        <u val="none"/>
        <vertAlign val="baseline"/>
        <sz val="14"/>
        <color rgb="FF000000"/>
        <name val="Calibri"/>
        <family val="2"/>
        <scheme val="none"/>
      </font>
      <numFmt numFmtId="0" formatCode="General"/>
      <fill>
        <patternFill patternType="solid">
          <fgColor indexed="64"/>
          <bgColor theme="4" tint="0.79998168889431442"/>
        </patternFill>
      </fill>
      <protection locked="0" hidden="0"/>
    </dxf>
    <dxf>
      <font>
        <b val="0"/>
        <i val="0"/>
        <strike val="0"/>
        <condense val="0"/>
        <extend val="0"/>
        <outline val="0"/>
        <shadow val="0"/>
        <u val="none"/>
        <vertAlign val="baseline"/>
        <sz val="14"/>
        <color rgb="FF000000"/>
        <name val="Calibri"/>
        <family val="2"/>
        <scheme val="none"/>
      </font>
      <numFmt numFmtId="2" formatCode="0.00"/>
      <protection locked="1" hidden="0"/>
    </dxf>
    <dxf>
      <font>
        <b val="0"/>
        <i val="0"/>
        <strike val="0"/>
        <condense val="0"/>
        <extend val="0"/>
        <outline val="0"/>
        <shadow val="0"/>
        <u val="none"/>
        <vertAlign val="baseline"/>
        <sz val="14"/>
        <color rgb="FF000000"/>
        <name val="Calibri"/>
        <family val="2"/>
        <scheme val="none"/>
      </font>
      <numFmt numFmtId="0" formatCode="General"/>
      <fill>
        <patternFill patternType="solid">
          <fgColor indexed="64"/>
          <bgColor theme="0" tint="-4.9989318521683403E-2"/>
        </patternFill>
      </fill>
      <protection locked="0" hidden="0"/>
    </dxf>
    <dxf>
      <font>
        <b val="0"/>
        <i val="0"/>
        <strike val="0"/>
        <condense val="0"/>
        <extend val="0"/>
        <outline val="0"/>
        <shadow val="0"/>
        <u val="none"/>
        <vertAlign val="baseline"/>
        <sz val="14"/>
        <color rgb="FF000000"/>
        <name val="Calibri"/>
        <family val="2"/>
        <scheme val="none"/>
      </font>
      <numFmt numFmtId="0" formatCode="General"/>
      <fill>
        <patternFill patternType="solid">
          <fgColor indexed="64"/>
          <bgColor theme="9" tint="0.79998168889431442"/>
        </patternFill>
      </fill>
      <protection locked="0" hidden="0"/>
    </dxf>
    <dxf>
      <font>
        <b val="0"/>
        <i val="0"/>
        <strike val="0"/>
        <condense val="0"/>
        <extend val="0"/>
        <outline val="0"/>
        <shadow val="0"/>
        <u val="none"/>
        <vertAlign val="baseline"/>
        <sz val="14"/>
        <color rgb="FF000000"/>
        <name val="Calibri"/>
        <family val="2"/>
        <scheme val="none"/>
      </font>
      <numFmt numFmtId="0" formatCode="General"/>
      <fill>
        <patternFill patternType="solid">
          <fgColor indexed="64"/>
          <bgColor theme="9" tint="0.79998168889431442"/>
        </patternFill>
      </fill>
      <protection locked="0" hidden="0"/>
    </dxf>
    <dxf>
      <font>
        <b val="0"/>
        <i val="0"/>
        <strike val="0"/>
        <condense val="0"/>
        <extend val="0"/>
        <outline val="0"/>
        <shadow val="0"/>
        <u val="none"/>
        <vertAlign val="baseline"/>
        <sz val="14"/>
        <color rgb="FF000000"/>
        <name val="Calibri"/>
        <family val="2"/>
        <scheme val="none"/>
      </font>
      <numFmt numFmtId="0" formatCode="General"/>
      <fill>
        <patternFill patternType="solid">
          <fgColor indexed="64"/>
          <bgColor theme="9" tint="0.79998168889431442"/>
        </patternFill>
      </fill>
      <protection locked="0" hidden="0"/>
    </dxf>
    <dxf>
      <font>
        <b val="0"/>
        <i val="0"/>
        <strike val="0"/>
        <condense val="0"/>
        <extend val="0"/>
        <outline val="0"/>
        <shadow val="0"/>
        <u val="none"/>
        <vertAlign val="baseline"/>
        <sz val="14"/>
        <color rgb="FF000000"/>
        <name val="Calibri"/>
        <family val="2"/>
        <scheme val="none"/>
      </font>
      <fill>
        <patternFill patternType="solid">
          <fgColor indexed="64"/>
          <bgColor theme="7" tint="0.79998168889431442"/>
        </patternFill>
      </fill>
      <protection locked="0" hidden="0"/>
    </dxf>
    <dxf>
      <font>
        <strike val="0"/>
        <outline val="0"/>
        <shadow val="0"/>
        <u val="none"/>
        <vertAlign val="baseline"/>
        <sz val="14"/>
        <name val="Calibri"/>
        <family val="2"/>
      </font>
      <protection locked="0" hidden="0"/>
    </dxf>
    <dxf>
      <font>
        <b/>
        <i val="0"/>
        <strike val="0"/>
        <condense val="0"/>
        <extend val="0"/>
        <outline val="0"/>
        <shadow val="0"/>
        <u val="none"/>
        <vertAlign val="baseline"/>
        <sz val="14"/>
        <color rgb="FF000000"/>
        <name val="Calibri"/>
        <family val="2"/>
        <scheme val="none"/>
      </font>
      <fill>
        <patternFill patternType="none">
          <fgColor indexed="64"/>
          <bgColor indexed="65"/>
        </patternFill>
      </fill>
      <alignment horizontal="general" vertical="bottom" textRotation="0" wrapText="1" indent="0" justifyLastLine="0" shrinkToFit="0" readingOrder="0"/>
    </dxf>
    <dxf>
      <fill>
        <patternFill>
          <bgColor rgb="FFFFCCCC"/>
        </patternFill>
      </fill>
    </dxf>
    <dxf>
      <fill>
        <patternFill>
          <bgColor rgb="FFC0E399"/>
        </patternFill>
      </fill>
    </dxf>
    <dxf>
      <numFmt numFmtId="0" formatCode="General"/>
      <alignment horizontal="general" vertical="bottom" textRotation="0" wrapText="1" indent="0" justifyLastLine="0" shrinkToFit="0" readingOrder="0"/>
    </dxf>
    <dxf>
      <font>
        <b val="0"/>
        <i val="0"/>
        <strike val="0"/>
        <condense val="0"/>
        <extend val="0"/>
        <outline val="0"/>
        <shadow val="0"/>
        <u val="none"/>
        <vertAlign val="baseline"/>
        <sz val="14"/>
        <color theme="1"/>
        <name val="Calibri"/>
        <family val="2"/>
        <scheme val="minor"/>
      </font>
    </dxf>
    <dxf>
      <numFmt numFmtId="0" formatCode="General"/>
    </dxf>
    <dxf>
      <numFmt numFmtId="0" formatCode="General"/>
    </dxf>
    <dxf>
      <font>
        <strike val="0"/>
        <outline val="0"/>
        <shadow val="0"/>
        <u val="none"/>
        <vertAlign val="baseline"/>
        <sz val="14"/>
        <name val="Calibri"/>
        <family val="2"/>
        <scheme val="minor"/>
      </font>
    </dxf>
    <dxf>
      <font>
        <strike val="0"/>
        <outline val="0"/>
        <shadow val="0"/>
        <u val="none"/>
        <vertAlign val="baseline"/>
        <sz val="14"/>
        <name val="Calibri"/>
        <family val="2"/>
        <scheme val="minor"/>
      </font>
    </dxf>
    <dxf>
      <font>
        <strike val="0"/>
        <outline val="0"/>
        <shadow val="0"/>
        <u val="none"/>
        <vertAlign val="baseline"/>
        <sz val="14"/>
        <name val="Calibri"/>
        <family val="2"/>
        <scheme val="minor"/>
      </font>
    </dxf>
    <dxf>
      <font>
        <strike val="0"/>
        <outline val="0"/>
        <shadow val="0"/>
        <u val="none"/>
        <vertAlign val="baseline"/>
        <sz val="14"/>
        <name val="Calibri"/>
        <family val="2"/>
        <scheme val="minor"/>
      </font>
    </dxf>
    <dxf>
      <font>
        <strike val="0"/>
        <outline val="0"/>
        <shadow val="0"/>
        <u val="none"/>
        <vertAlign val="baseline"/>
        <sz val="14"/>
        <name val="Calibri"/>
        <family val="2"/>
        <scheme val="minor"/>
      </font>
    </dxf>
    <dxf>
      <font>
        <strike val="0"/>
        <outline val="0"/>
        <shadow val="0"/>
        <u val="none"/>
        <vertAlign val="baseline"/>
        <sz val="14"/>
        <name val="Calibri"/>
        <family val="2"/>
        <scheme val="minor"/>
      </font>
    </dxf>
    <dxf>
      <numFmt numFmtId="1" formatCode="0"/>
    </dxf>
    <dxf>
      <numFmt numFmtId="1" formatCode="0"/>
    </dxf>
    <dxf>
      <numFmt numFmtId="1" formatCode="0"/>
    </dxf>
    <dxf>
      <numFmt numFmtId="1" formatCode="0"/>
    </dxf>
    <dxf>
      <numFmt numFmtId="1" formatCode="0"/>
    </dxf>
    <dxf>
      <numFmt numFmtId="1" formatCode="0"/>
    </dxf>
    <dxf>
      <numFmt numFmtId="1" formatCode="0"/>
    </dxf>
    <dxf>
      <alignment wrapText="1"/>
    </dxf>
    <dxf>
      <alignment wrapText="1"/>
    </dxf>
    <dxf>
      <font>
        <sz val="14"/>
      </font>
    </dxf>
    <dxf>
      <font>
        <sz val="14"/>
      </font>
    </dxf>
    <dxf>
      <font>
        <sz val="14"/>
      </font>
    </dxf>
    <dxf>
      <font>
        <sz val="14"/>
      </font>
    </dxf>
    <dxf>
      <font>
        <sz val="14"/>
      </font>
    </dxf>
    <dxf>
      <font>
        <sz val="14"/>
      </font>
    </dxf>
    <dxf>
      <font>
        <sz val="14"/>
      </font>
    </dxf>
    <dxf>
      <font>
        <sz val="14"/>
      </font>
    </dxf>
    <dxf>
      <font>
        <sz val="14"/>
      </font>
    </dxf>
    <dxf>
      <alignment wrapText="1"/>
    </dxf>
    <dxf>
      <font>
        <sz val="12"/>
      </font>
    </dxf>
    <dxf>
      <font>
        <sz val="12"/>
      </font>
    </dxf>
    <dxf>
      <alignment wrapText="1"/>
    </dxf>
    <dxf>
      <alignment wrapText="1"/>
    </dxf>
    <dxf>
      <font>
        <sz val="14"/>
      </font>
    </dxf>
    <dxf>
      <font>
        <sz val="14"/>
      </font>
    </dxf>
    <dxf>
      <font>
        <sz val="14"/>
      </font>
    </dxf>
    <dxf>
      <font>
        <sz val="14"/>
      </font>
    </dxf>
    <dxf>
      <font>
        <sz val="14"/>
      </font>
    </dxf>
    <dxf>
      <font>
        <sz val="14"/>
      </font>
    </dxf>
    <dxf>
      <font>
        <sz val="14"/>
      </font>
    </dxf>
    <dxf>
      <font>
        <sz val="14"/>
      </font>
    </dxf>
    <dxf>
      <font>
        <sz val="14"/>
      </font>
    </dxf>
    <dxf>
      <alignment wrapText="1"/>
    </dxf>
    <dxf>
      <alignment wrapText="1"/>
    </dxf>
    <dxf>
      <numFmt numFmtId="1" formatCode="0"/>
    </dxf>
    <dxf>
      <font>
        <sz val="12"/>
      </font>
    </dxf>
    <dxf>
      <font>
        <sz val="12"/>
      </font>
    </dxf>
    <dxf>
      <font>
        <sz val="12"/>
      </font>
    </dxf>
    <dxf>
      <font>
        <sz val="12"/>
      </font>
    </dxf>
    <dxf>
      <alignment wrapText="1"/>
    </dxf>
    <dxf>
      <numFmt numFmtId="2" formatCode="0.00"/>
    </dxf>
    <dxf>
      <font>
        <sz val="14"/>
      </font>
    </dxf>
    <dxf>
      <font>
        <sz val="14"/>
      </font>
    </dxf>
    <dxf>
      <font>
        <sz val="14"/>
      </font>
    </dxf>
    <dxf>
      <font>
        <sz val="14"/>
      </font>
    </dxf>
    <dxf>
      <font>
        <sz val="14"/>
      </font>
    </dxf>
    <dxf>
      <font>
        <sz val="14"/>
      </font>
    </dxf>
    <dxf>
      <font>
        <sz val="14"/>
      </font>
    </dxf>
    <dxf>
      <font>
        <sz val="14"/>
      </font>
    </dxf>
    <dxf>
      <font>
        <sz val="14"/>
      </font>
    </dxf>
    <dxf>
      <numFmt numFmtId="168" formatCode="#,##0.0"/>
    </dxf>
    <dxf>
      <numFmt numFmtId="169" formatCode="0.0E+00"/>
    </dxf>
    <dxf>
      <numFmt numFmtId="169" formatCode="0.0E+00"/>
    </dxf>
    <dxf>
      <numFmt numFmtId="169" formatCode="0.0E+00"/>
    </dxf>
    <dxf>
      <numFmt numFmtId="169" formatCode="0.0E+00"/>
    </dxf>
    <dxf>
      <numFmt numFmtId="169" formatCode="0.0E+00"/>
    </dxf>
    <dxf>
      <numFmt numFmtId="169" formatCode="0.0E+00"/>
    </dxf>
    <dxf>
      <numFmt numFmtId="169" formatCode="0.0E+00"/>
    </dxf>
    <dxf>
      <numFmt numFmtId="169" formatCode="0.0E+00"/>
    </dxf>
    <dxf>
      <protection locked="0"/>
    </dxf>
    <dxf>
      <protection locked="1"/>
    </dxf>
    <dxf>
      <protection locked="0"/>
    </dxf>
    <dxf>
      <protection locked="0"/>
    </dxf>
    <dxf>
      <font>
        <sz val="14"/>
      </font>
    </dxf>
    <dxf>
      <font>
        <sz val="14"/>
      </font>
    </dxf>
    <dxf>
      <font>
        <sz val="14"/>
      </font>
    </dxf>
    <dxf>
      <font>
        <sz val="14"/>
      </font>
    </dxf>
    <dxf>
      <font>
        <sz val="14"/>
      </font>
    </dxf>
    <dxf>
      <font>
        <sz val="14"/>
      </font>
    </dxf>
    <dxf>
      <font>
        <sz val="14"/>
      </font>
    </dxf>
    <dxf>
      <font>
        <sz val="14"/>
      </font>
    </dxf>
    <dxf>
      <font>
        <sz val="14"/>
      </font>
    </dxf>
    <dxf>
      <font>
        <sz val="14"/>
      </font>
    </dxf>
    <dxf>
      <alignment wrapText="1"/>
    </dxf>
    <dxf>
      <numFmt numFmtId="169" formatCode="0.0E+00"/>
    </dxf>
    <dxf>
      <numFmt numFmtId="169" formatCode="0.0E+00"/>
    </dxf>
    <dxf>
      <numFmt numFmtId="169" formatCode="0.0E+00"/>
    </dxf>
    <dxf>
      <numFmt numFmtId="169" formatCode="0.0E+00"/>
    </dxf>
    <dxf>
      <numFmt numFmtId="169" formatCode="0.0E+00"/>
    </dxf>
    <dxf>
      <numFmt numFmtId="169" formatCode="0.0E+00"/>
    </dxf>
    <dxf>
      <numFmt numFmtId="169" formatCode="0.0E+00"/>
    </dxf>
    <dxf>
      <numFmt numFmtId="169" formatCode="0.0E+00"/>
    </dxf>
    <dxf>
      <font>
        <sz val="14"/>
      </font>
    </dxf>
    <dxf>
      <font>
        <sz val="14"/>
      </font>
    </dxf>
    <dxf>
      <font>
        <sz val="14"/>
      </font>
    </dxf>
    <dxf>
      <font>
        <sz val="14"/>
      </font>
    </dxf>
    <dxf>
      <font>
        <sz val="14"/>
      </font>
    </dxf>
    <dxf>
      <font>
        <sz val="14"/>
      </font>
    </dxf>
    <dxf>
      <font>
        <sz val="14"/>
      </font>
    </dxf>
    <dxf>
      <font>
        <sz val="14"/>
      </font>
    </dxf>
    <dxf>
      <font>
        <sz val="14"/>
      </font>
    </dxf>
    <dxf>
      <alignment wrapText="1"/>
    </dxf>
    <dxf>
      <numFmt numFmtId="1" formatCode="0"/>
    </dxf>
    <dxf>
      <font>
        <sz val="12"/>
      </font>
    </dxf>
    <dxf>
      <font>
        <sz val="12"/>
      </font>
    </dxf>
    <dxf>
      <font>
        <sz val="12"/>
      </font>
    </dxf>
    <dxf>
      <font>
        <sz val="12"/>
      </font>
    </dxf>
    <dxf>
      <alignment wrapText="1"/>
    </dxf>
    <dxf>
      <alignment wrapText="1"/>
    </dxf>
    <dxf>
      <font>
        <sz val="14"/>
      </font>
    </dxf>
    <dxf>
      <font>
        <sz val="14"/>
      </font>
    </dxf>
    <dxf>
      <font>
        <sz val="14"/>
      </font>
    </dxf>
    <dxf>
      <font>
        <sz val="14"/>
      </font>
    </dxf>
    <dxf>
      <font>
        <sz val="14"/>
      </font>
    </dxf>
    <dxf>
      <font>
        <sz val="14"/>
      </font>
    </dxf>
    <dxf>
      <font>
        <sz val="14"/>
      </font>
    </dxf>
    <dxf>
      <font>
        <sz val="14"/>
      </font>
    </dxf>
    <dxf>
      <font>
        <sz val="14"/>
      </font>
    </dxf>
    <dxf>
      <alignment wrapText="1"/>
    </dxf>
    <dxf>
      <alignment wrapText="1"/>
    </dxf>
    <dxf>
      <numFmt numFmtId="1" formatCode="0"/>
    </dxf>
    <dxf>
      <font>
        <sz val="12"/>
      </font>
    </dxf>
    <dxf>
      <font>
        <sz val="12"/>
      </font>
    </dxf>
    <dxf>
      <font>
        <sz val="12"/>
      </font>
    </dxf>
    <dxf>
      <numFmt numFmtId="2" formatCode="0.00"/>
    </dxf>
    <dxf>
      <font>
        <b val="0"/>
        <i val="0"/>
        <strike val="0"/>
        <condense val="0"/>
        <extend val="0"/>
        <outline val="0"/>
        <shadow val="0"/>
        <u val="none"/>
        <vertAlign val="baseline"/>
        <sz val="11"/>
        <color rgb="FF000000"/>
        <name val="Calibri"/>
        <family val="2"/>
        <scheme val="none"/>
      </font>
      <fill>
        <patternFill patternType="none">
          <fgColor indexed="64"/>
          <bgColor auto="1"/>
        </patternFill>
      </fill>
    </dxf>
    <dxf>
      <font>
        <b val="0"/>
        <i val="0"/>
        <strike val="0"/>
        <condense val="0"/>
        <extend val="0"/>
        <outline val="0"/>
        <shadow val="0"/>
        <u val="none"/>
        <vertAlign val="baseline"/>
        <sz val="11"/>
        <color auto="1"/>
        <name val="Calibri"/>
        <family val="2"/>
        <scheme val="none"/>
      </font>
      <fill>
        <patternFill patternType="solid">
          <fgColor indexed="64"/>
          <bgColor theme="0"/>
        </patternFill>
      </fill>
    </dxf>
    <dxf>
      <font>
        <b val="0"/>
        <i val="0"/>
        <strike val="0"/>
        <condense val="0"/>
        <extend val="0"/>
        <outline val="0"/>
        <shadow val="0"/>
        <u val="none"/>
        <vertAlign val="baseline"/>
        <sz val="11"/>
        <color rgb="FF000000"/>
        <name val="Calibri"/>
        <family val="2"/>
        <scheme val="none"/>
      </font>
      <fill>
        <patternFill patternType="none">
          <fgColor indexed="64"/>
          <bgColor auto="1"/>
        </patternFill>
      </fill>
    </dxf>
    <dxf>
      <font>
        <b val="0"/>
        <i val="0"/>
        <strike val="0"/>
        <condense val="0"/>
        <extend val="0"/>
        <outline val="0"/>
        <shadow val="0"/>
        <u val="none"/>
        <vertAlign val="baseline"/>
        <sz val="11"/>
        <color rgb="FF000000"/>
        <name val="Calibri"/>
        <family val="2"/>
        <scheme val="none"/>
      </font>
      <fill>
        <patternFill patternType="none">
          <fgColor indexed="64"/>
          <bgColor auto="1"/>
        </patternFill>
      </fill>
    </dxf>
  </dxfs>
  <tableStyles count="0" defaultTableStyle="TableStyleMedium2" defaultPivotStyle="PivotStyleLight16"/>
  <colors>
    <mruColors>
      <color rgb="FF70AD47"/>
      <color rgb="FFFFC000"/>
      <color rgb="FFC0E399"/>
      <color rgb="FFFFCCCC"/>
      <color rgb="FFB4C7E7"/>
      <color rgb="FFE2F0D9"/>
      <color rgb="FFDAE3F3"/>
      <color rgb="FFFBE5D6"/>
      <color rgb="FFFF9900"/>
      <color rgb="FF00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vbaProject.bin.rels><?xml version="1.0" encoding="UTF-8" standalone="yes"?>
<Relationships xmlns="http://schemas.openxmlformats.org/package/2006/relationships"><Relationship Id="rId3" Type="http://schemas.microsoft.com/office/2020/07/relationships/vbaProjectSignatureV3" Target="vbaProjectSignatureV3.bin"/><Relationship Id="rId2" Type="http://schemas.microsoft.com/office/2014/relationships/vbaProjectSignatureAgile" Target="vbaProjectSignatureAgile.bin"/><Relationship Id="rId1" Type="http://schemas.microsoft.com/office/2006/relationships/vbaProjectSignature" Target="vbaProjectSignature.bin"/></Relationships>
</file>

<file path=xl/_rels/workbook.xml.rels><?xml version="1.0" encoding="UTF-8" standalone="yes"?>
<Relationships xmlns="http://schemas.openxmlformats.org/package/2006/relationships"><Relationship Id="rId13" Type="http://schemas.microsoft.com/office/2007/relationships/slicerCache" Target="slicerCaches/slicerCache1.xml"/><Relationship Id="rId18" Type="http://schemas.openxmlformats.org/officeDocument/2006/relationships/styles" Target="styles.xml"/><Relationship Id="rId26" Type="http://schemas.openxmlformats.org/officeDocument/2006/relationships/customXml" Target="../customXml/item5.xml"/><Relationship Id="rId39" Type="http://schemas.openxmlformats.org/officeDocument/2006/relationships/customXml" Target="../customXml/item18.xml"/><Relationship Id="rId21" Type="http://schemas.openxmlformats.org/officeDocument/2006/relationships/calcChain" Target="calcChain.xml"/><Relationship Id="rId34" Type="http://schemas.openxmlformats.org/officeDocument/2006/relationships/customXml" Target="../customXml/item13.xml"/><Relationship Id="rId42" Type="http://schemas.microsoft.com/office/2006/relationships/vbaProject" Target="vbaProject.bin"/><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powerPivotData" Target="model/item.data"/><Relationship Id="rId29" Type="http://schemas.openxmlformats.org/officeDocument/2006/relationships/customXml" Target="../customXml/item8.xml"/><Relationship Id="rId41" Type="http://schemas.openxmlformats.org/officeDocument/2006/relationships/customXml" Target="../customXml/item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32" Type="http://schemas.openxmlformats.org/officeDocument/2006/relationships/customXml" Target="../customXml/item11.xml"/><Relationship Id="rId37" Type="http://schemas.openxmlformats.org/officeDocument/2006/relationships/customXml" Target="../customXml/item16.xml"/><Relationship Id="rId40" Type="http://schemas.openxmlformats.org/officeDocument/2006/relationships/customXml" Target="../customXml/item19.xml"/><Relationship Id="rId5" Type="http://schemas.openxmlformats.org/officeDocument/2006/relationships/worksheet" Target="worksheets/sheet5.xml"/><Relationship Id="rId15" Type="http://schemas.microsoft.com/office/2007/relationships/slicerCache" Target="slicerCaches/slicerCache3.xml"/><Relationship Id="rId23" Type="http://schemas.openxmlformats.org/officeDocument/2006/relationships/customXml" Target="../customXml/item2.xml"/><Relationship Id="rId28" Type="http://schemas.openxmlformats.org/officeDocument/2006/relationships/customXml" Target="../customXml/item7.xml"/><Relationship Id="rId36" Type="http://schemas.openxmlformats.org/officeDocument/2006/relationships/customXml" Target="../customXml/item15.xml"/><Relationship Id="rId10" Type="http://schemas.openxmlformats.org/officeDocument/2006/relationships/worksheet" Target="worksheets/sheet10.xml"/><Relationship Id="rId19" Type="http://schemas.openxmlformats.org/officeDocument/2006/relationships/sharedStrings" Target="sharedStrings.xml"/><Relationship Id="rId31" Type="http://schemas.openxmlformats.org/officeDocument/2006/relationships/customXml" Target="../customXml/item10.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7/relationships/slicerCache" Target="slicerCaches/slicerCache2.xml"/><Relationship Id="rId22" Type="http://schemas.openxmlformats.org/officeDocument/2006/relationships/customXml" Target="../customXml/item1.xml"/><Relationship Id="rId27" Type="http://schemas.openxmlformats.org/officeDocument/2006/relationships/customXml" Target="../customXml/item6.xml"/><Relationship Id="rId30" Type="http://schemas.openxmlformats.org/officeDocument/2006/relationships/customXml" Target="../customXml/item9.xml"/><Relationship Id="rId35" Type="http://schemas.openxmlformats.org/officeDocument/2006/relationships/customXml" Target="../customXml/item14.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pivotCacheDefinition" Target="pivotCache/pivotCacheDefinition1.xml"/><Relationship Id="rId17" Type="http://schemas.openxmlformats.org/officeDocument/2006/relationships/connections" Target="connections.xml"/><Relationship Id="rId25" Type="http://schemas.openxmlformats.org/officeDocument/2006/relationships/customXml" Target="../customXml/item4.xml"/><Relationship Id="rId33" Type="http://schemas.openxmlformats.org/officeDocument/2006/relationships/customXml" Target="../customXml/item12.xml"/><Relationship Id="rId38" Type="http://schemas.openxmlformats.org/officeDocument/2006/relationships/customXml" Target="../customXml/item17.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r:id="rId1"/>
</file>

<file path=xl/charts/_rels/chart1.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3" Type="http://schemas.openxmlformats.org/officeDocument/2006/relationships/themeOverride" Target="../theme/themeOverride2.xml"/><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3" Type="http://schemas.openxmlformats.org/officeDocument/2006/relationships/themeOverride" Target="../theme/themeOverride3.xml"/><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3" Type="http://schemas.openxmlformats.org/officeDocument/2006/relationships/themeOverride" Target="../theme/themeOverride4.xml"/><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pivotSource>
    <c:name>[Leitlinien_LeitRix_final-revised-26.03.2025.xlsm]Ausgabe Tabellen!Pivot_GWP</c:name>
    <c:fmtId val="18"/>
  </c:pivotSource>
  <c:chart>
    <c:title>
      <c:tx>
        <c:rich>
          <a:bodyPr rot="0" spcFirstLastPara="1" vertOverflow="ellipsis" vert="horz" wrap="square" anchor="ctr" anchorCtr="1"/>
          <a:lstStyle/>
          <a:p>
            <a:pPr>
              <a:defRPr sz="2800" b="0" i="0" u="none" strike="noStrike" kern="1200" spc="0" baseline="0">
                <a:solidFill>
                  <a:sysClr val="windowText" lastClr="000000"/>
                </a:solidFill>
                <a:latin typeface="+mn-lt"/>
                <a:ea typeface="+mn-ea"/>
                <a:cs typeface="+mn-cs"/>
              </a:defRPr>
            </a:pPr>
            <a:r>
              <a:rPr lang="de-DE"/>
              <a:t>Klima-Fußabdruck bei Variation Dämmung | +8, 0 -4 cm | GWPfossil [kg CO2-Äqu./m²]</a:t>
            </a:r>
          </a:p>
        </c:rich>
      </c:tx>
      <c:overlay val="0"/>
      <c:spPr>
        <a:noFill/>
        <a:ln>
          <a:noFill/>
        </a:ln>
        <a:effectLst/>
      </c:spPr>
      <c:txPr>
        <a:bodyPr rot="0" spcFirstLastPara="1" vertOverflow="ellipsis" vert="horz" wrap="square" anchor="ctr" anchorCtr="1"/>
        <a:lstStyle/>
        <a:p>
          <a:pPr>
            <a:defRPr sz="2800" b="0" i="0" u="none" strike="noStrike" kern="1200" spc="0" baseline="0">
              <a:solidFill>
                <a:sysClr val="windowText" lastClr="000000"/>
              </a:solidFill>
              <a:latin typeface="+mn-lt"/>
              <a:ea typeface="+mn-ea"/>
              <a:cs typeface="+mn-cs"/>
            </a:defRPr>
          </a:pPr>
          <a:endParaRPr lang="de-DE"/>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6"/>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7"/>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8"/>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9"/>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2"/>
        <c:spPr>
          <a:solidFill>
            <a:srgbClr val="FF99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5"/>
        <c:spPr>
          <a:solidFill>
            <a:schemeClr val="accent1">
              <a:lumMod val="40000"/>
              <a:lumOff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6"/>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7"/>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8"/>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9"/>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0"/>
        <c:spPr>
          <a:solidFill>
            <a:schemeClr val="accent1">
              <a:lumMod val="40000"/>
              <a:lumOff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1"/>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2"/>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3"/>
        <c:spPr>
          <a:solidFill>
            <a:schemeClr val="accent1">
              <a:lumMod val="40000"/>
              <a:lumOff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4"/>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5"/>
        <c:spPr>
          <a:solidFill>
            <a:schemeClr val="accent6"/>
          </a:solidFill>
          <a:ln>
            <a:noFill/>
          </a:ln>
          <a:effectLst/>
        </c:spPr>
        <c:marker>
          <c:symbol val="none"/>
        </c:marker>
        <c:dLbl>
          <c:idx val="0"/>
          <c:spPr>
            <a:noFill/>
            <a:ln>
              <a:noFill/>
            </a:ln>
            <a:effectLst/>
          </c:spPr>
          <c:txPr>
            <a:bodyPr rot="0" spcFirstLastPara="1" vertOverflow="ellipsis" vert="horz" wrap="square" anchor="ctr" anchorCtr="1"/>
            <a:lstStyle/>
            <a:p>
              <a:pPr>
                <a:defRPr sz="12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6"/>
        <c:spPr>
          <a:solidFill>
            <a:schemeClr val="accent1">
              <a:lumMod val="40000"/>
              <a:lumOff val="60000"/>
            </a:schemeClr>
          </a:solidFill>
          <a:ln>
            <a:noFill/>
          </a:ln>
          <a:effectLst/>
        </c:spPr>
        <c:marker>
          <c:symbol val="none"/>
        </c:marker>
        <c:dLbl>
          <c:idx val="0"/>
          <c:spPr>
            <a:noFill/>
            <a:ln>
              <a:noFill/>
            </a:ln>
            <a:effectLst/>
          </c:spPr>
          <c:txPr>
            <a:bodyPr rot="0" spcFirstLastPara="1" vertOverflow="ellipsis" vert="horz" wrap="square" anchor="ctr" anchorCtr="1"/>
            <a:lstStyle/>
            <a:p>
              <a:pPr>
                <a:defRPr sz="12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7"/>
        <c:spPr>
          <a:solidFill>
            <a:srgbClr val="FFC000"/>
          </a:solidFill>
          <a:ln>
            <a:noFill/>
          </a:ln>
          <a:effectLst/>
        </c:spPr>
        <c:marker>
          <c:symbol val="none"/>
        </c:marker>
        <c:dLbl>
          <c:idx val="0"/>
          <c:spPr>
            <a:noFill/>
            <a:ln>
              <a:noFill/>
            </a:ln>
            <a:effectLst/>
          </c:spPr>
          <c:txPr>
            <a:bodyPr rot="0" spcFirstLastPara="1" vertOverflow="ellipsis" vert="horz" wrap="square" anchor="ctr" anchorCtr="1"/>
            <a:lstStyle/>
            <a:p>
              <a:pPr>
                <a:defRPr sz="12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8"/>
        <c:spPr>
          <a:solidFill>
            <a:schemeClr val="accent6"/>
          </a:solidFill>
          <a:ln>
            <a:noFill/>
          </a:ln>
          <a:effectLst/>
        </c:spPr>
        <c:marker>
          <c:symbol val="none"/>
        </c:marker>
        <c:dLbl>
          <c:idx val="0"/>
          <c:spPr>
            <a:noFill/>
            <a:ln>
              <a:noFill/>
            </a:ln>
            <a:effectLst/>
          </c:spPr>
          <c:txPr>
            <a:bodyPr rot="0" spcFirstLastPara="1" vertOverflow="ellipsis" vert="horz" wrap="square" anchor="ctr" anchorCtr="1"/>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9"/>
        <c:spPr>
          <a:solidFill>
            <a:schemeClr val="accent1">
              <a:lumMod val="40000"/>
              <a:lumOff val="60000"/>
            </a:schemeClr>
          </a:solidFill>
          <a:ln>
            <a:noFill/>
          </a:ln>
          <a:effectLst/>
        </c:spPr>
        <c:marker>
          <c:symbol val="none"/>
        </c:marker>
        <c:dLbl>
          <c:idx val="0"/>
          <c:spPr>
            <a:noFill/>
            <a:ln>
              <a:noFill/>
            </a:ln>
            <a:effectLst/>
          </c:spPr>
          <c:txPr>
            <a:bodyPr rot="0" spcFirstLastPara="1" vertOverflow="ellipsis" vert="horz" wrap="square" anchor="ctr" anchorCtr="1"/>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30"/>
        <c:spPr>
          <a:solidFill>
            <a:srgbClr val="FFC000"/>
          </a:solidFill>
          <a:ln>
            <a:noFill/>
          </a:ln>
          <a:effectLst/>
        </c:spPr>
        <c:marker>
          <c:symbol val="none"/>
        </c:marker>
        <c:dLbl>
          <c:idx val="0"/>
          <c:spPr>
            <a:noFill/>
            <a:ln>
              <a:noFill/>
            </a:ln>
            <a:effectLst/>
          </c:spPr>
          <c:txPr>
            <a:bodyPr rot="0" spcFirstLastPara="1" vertOverflow="ellipsis" vert="horz" wrap="square" anchor="ctr" anchorCtr="1"/>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31"/>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32"/>
        <c:spPr>
          <a:solidFill>
            <a:schemeClr val="accent1">
              <a:lumMod val="40000"/>
              <a:lumOff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33"/>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34"/>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35"/>
        <c:spPr>
          <a:solidFill>
            <a:schemeClr val="accent1">
              <a:lumMod val="40000"/>
              <a:lumOff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36"/>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37"/>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38"/>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39"/>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40"/>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41"/>
        <c:spPr>
          <a:solidFill>
            <a:schemeClr val="accent1">
              <a:lumMod val="40000"/>
              <a:lumOff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42"/>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43"/>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44"/>
        <c:spPr>
          <a:solidFill>
            <a:schemeClr val="accent1">
              <a:lumMod val="40000"/>
              <a:lumOff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45"/>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46"/>
        <c:spPr>
          <a:solidFill>
            <a:srgbClr val="5B9BD5">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47"/>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48"/>
        <c:spPr>
          <a:solidFill>
            <a:srgbClr val="FFC000">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49"/>
        <c:spPr>
          <a:solidFill>
            <a:srgbClr val="FFC000"/>
          </a:solidFill>
          <a:ln>
            <a:noFill/>
          </a:ln>
          <a:effectLst/>
        </c:spPr>
      </c:pivotFmt>
      <c:pivotFmt>
        <c:idx val="50"/>
        <c:spPr>
          <a:solidFill>
            <a:srgbClr val="FFC000">
              <a:lumMod val="75000"/>
            </a:srgbClr>
          </a:solidFill>
          <a:ln>
            <a:noFill/>
          </a:ln>
          <a:effectLst/>
        </c:spPr>
      </c:pivotFmt>
      <c:pivotFmt>
        <c:idx val="51"/>
        <c:spPr>
          <a:solidFill>
            <a:srgbClr val="70AD47">
              <a:lumMod val="50000"/>
            </a:srgbClr>
          </a:solidFill>
          <a:ln>
            <a:noFill/>
          </a:ln>
          <a:effectLst/>
        </c:spPr>
      </c:pivotFmt>
      <c:pivotFmt>
        <c:idx val="52"/>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53"/>
        <c:spPr>
          <a:solidFill>
            <a:srgbClr val="70AD47">
              <a:lumMod val="50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54"/>
        <c:spPr>
          <a:solidFill>
            <a:schemeClr val="accent1">
              <a:lumMod val="40000"/>
              <a:lumOff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55"/>
        <c:spPr>
          <a:solidFill>
            <a:srgbClr val="5B9BD5">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56"/>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57"/>
        <c:spPr>
          <a:solidFill>
            <a:srgbClr val="FFC000">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58"/>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59"/>
        <c:spPr>
          <a:solidFill>
            <a:srgbClr val="FFC000"/>
          </a:solidFill>
          <a:ln>
            <a:noFill/>
          </a:ln>
          <a:effectLst/>
        </c:spPr>
      </c:pivotFmt>
      <c:pivotFmt>
        <c:idx val="60"/>
      </c:pivotFmt>
      <c:pivotFmt>
        <c:idx val="61"/>
        <c:spPr>
          <a:solidFill>
            <a:srgbClr val="70AD47"/>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62"/>
        <c:spPr>
          <a:solidFill>
            <a:srgbClr val="70AD47">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63"/>
        <c:spPr>
          <a:solidFill>
            <a:srgbClr val="4472C4">
              <a:lumMod val="40000"/>
              <a:lumOff val="60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64"/>
        <c:spPr>
          <a:solidFill>
            <a:srgbClr val="5B9BD5">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65"/>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66"/>
        <c:spPr>
          <a:solidFill>
            <a:srgbClr val="FFC000">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67"/>
        <c:spPr>
          <a:solidFill>
            <a:srgbClr val="70AD47"/>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68"/>
        <c:spPr>
          <a:solidFill>
            <a:srgbClr val="70AD47">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69"/>
        <c:spPr>
          <a:solidFill>
            <a:srgbClr val="4472C4">
              <a:lumMod val="40000"/>
              <a:lumOff val="60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70"/>
        <c:spPr>
          <a:solidFill>
            <a:srgbClr val="5B9BD5">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71"/>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72"/>
        <c:spPr>
          <a:solidFill>
            <a:srgbClr val="FFC000">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73"/>
        <c:spPr>
          <a:solidFill>
            <a:srgbClr val="70AD47"/>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74"/>
        <c:spPr>
          <a:solidFill>
            <a:srgbClr val="4472C4">
              <a:lumMod val="40000"/>
              <a:lumOff val="60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75"/>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76"/>
        <c:spPr>
          <a:solidFill>
            <a:srgbClr val="70AD47">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77"/>
        <c:spPr>
          <a:solidFill>
            <a:srgbClr val="5B9BD5"/>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78"/>
        <c:spPr>
          <a:solidFill>
            <a:srgbClr val="FFC000">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79"/>
        <c:spPr>
          <a:solidFill>
            <a:srgbClr val="70AD47"/>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80"/>
        <c:spPr>
          <a:solidFill>
            <a:srgbClr val="4472C4">
              <a:lumMod val="40000"/>
              <a:lumOff val="60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81"/>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82"/>
        <c:spPr>
          <a:solidFill>
            <a:srgbClr val="70AD47">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83"/>
        <c:spPr>
          <a:solidFill>
            <a:srgbClr val="5B9BD5"/>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84"/>
        <c:spPr>
          <a:solidFill>
            <a:srgbClr val="FFC000">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0.44401352236959168"/>
          <c:y val="8.5950352894452117E-2"/>
          <c:w val="0.52960720016805685"/>
          <c:h val="0.79120168037304672"/>
        </c:manualLayout>
      </c:layout>
      <c:barChart>
        <c:barDir val="bar"/>
        <c:grouping val="clustered"/>
        <c:varyColors val="0"/>
        <c:ser>
          <c:idx val="0"/>
          <c:order val="0"/>
          <c:tx>
            <c:strRef>
              <c:f>'Ausgabe Tabellen'!$N$13:$N$15</c:f>
              <c:strCache>
                <c:ptCount val="1"/>
                <c:pt idx="0">
                  <c:v>A1-A3 -   GWP min</c:v>
                </c:pt>
              </c:strCache>
            </c:strRef>
          </c:tx>
          <c:spPr>
            <a:solidFill>
              <a:srgbClr val="70AD47"/>
            </a:solidFill>
            <a:ln>
              <a:noFill/>
            </a:ln>
            <a:effectLst/>
          </c:spPr>
          <c:invertIfNegative val="0"/>
          <c:cat>
            <c:multiLvlStrRef>
              <c:f>'Ausgabe Tabellen'!$M$16:$M$43</c:f>
              <c:multiLvlStrCache>
                <c:ptCount val="22"/>
                <c:lvl>
                  <c:pt idx="0">
                    <c:v>1. Stahlbeton-Bodenplatte | Referenz XPS</c:v>
                  </c:pt>
                  <c:pt idx="1">
                    <c:v>2. Stahlbeton (R-Beton) - Bodenplatte | Referenz XPS</c:v>
                  </c:pt>
                  <c:pt idx="2">
                    <c:v>0. Pfosten/Riegelsystem aus Aluminium | Referenz</c:v>
                  </c:pt>
                  <c:pt idx="3">
                    <c:v>1. Mauerwerk, einschalig - Kalksandstein (KS) mit Dämmung | Referenz EPS</c:v>
                  </c:pt>
                  <c:pt idx="4">
                    <c:v>2. Mauerwerk, einschalig - Kalksandstein (KS) mit Dämmung | Hanf</c:v>
                  </c:pt>
                  <c:pt idx="5">
                    <c:v>3. Mauerwerk, einschalig - Kalksandstein (KS) mit Dämmung | Zellulose</c:v>
                  </c:pt>
                  <c:pt idx="6">
                    <c:v>4. Mauerwerk, einschalig - Hochlochziegel (HLZ) | Referenz MiWo</c:v>
                  </c:pt>
                  <c:pt idx="7">
                    <c:v>5. Mauerwerk, einschalig - Mauerziegel (gefüllt) | Referenz</c:v>
                  </c:pt>
                  <c:pt idx="8">
                    <c:v>6. Mauerwerk, zweischalig - Vollziegel (VZ) | Referenz MiWo</c:v>
                  </c:pt>
                  <c:pt idx="9">
                    <c:v>7. Holzrahmenbau - Holzständerbauweise (HSB) | Referenz MiWo</c:v>
                  </c:pt>
                  <c:pt idx="10">
                    <c:v>8. Holzrahmenbau - Holzständerbauweise (HSB) | Stroh</c:v>
                  </c:pt>
                  <c:pt idx="11">
                    <c:v>9. Stampflehmwand | -</c:v>
                  </c:pt>
                  <c:pt idx="12">
                    <c:v>1. Außenwand Beton | konv. Beton</c:v>
                  </c:pt>
                  <c:pt idx="13">
                    <c:v>2. Außenwand Beton | R-Beton</c:v>
                  </c:pt>
                  <c:pt idx="14">
                    <c:v>1. Stahlbetondecke | Referenz EPS</c:v>
                  </c:pt>
                  <c:pt idx="15">
                    <c:v>2. Metalldecke | Referenz XPS</c:v>
                  </c:pt>
                  <c:pt idx="16">
                    <c:v>3. Holzdecke | Referenz MiWo</c:v>
                  </c:pt>
                  <c:pt idx="17">
                    <c:v>1. Schrägdach - Holzkonstruktion | Referenz MiWo</c:v>
                  </c:pt>
                  <c:pt idx="18">
                    <c:v>2. Flachdach - Stahlbeton | Referenz PIR</c:v>
                  </c:pt>
                  <c:pt idx="19">
                    <c:v>1. Heizung | Neu</c:v>
                  </c:pt>
                  <c:pt idx="20">
                    <c:v>2. Heizung | ReUse</c:v>
                  </c:pt>
                  <c:pt idx="21">
                    <c:v>1. Innenwand | Trockenbau</c:v>
                  </c:pt>
                </c:lvl>
                <c:lvl>
                  <c:pt idx="0">
                    <c:v>320 Gründung</c:v>
                  </c:pt>
                  <c:pt idx="2">
                    <c:v>330 Außenwände</c:v>
                  </c:pt>
                  <c:pt idx="14">
                    <c:v>350 Geschossdecken</c:v>
                  </c:pt>
                  <c:pt idx="17">
                    <c:v>360 Dach</c:v>
                  </c:pt>
                  <c:pt idx="19">
                    <c:v>Sonstige</c:v>
                  </c:pt>
                  <c:pt idx="21">
                    <c:v>340 Innenwände</c:v>
                  </c:pt>
                </c:lvl>
              </c:multiLvlStrCache>
            </c:multiLvlStrRef>
          </c:cat>
          <c:val>
            <c:numRef>
              <c:f>'Ausgabe Tabellen'!$N$16:$N$43</c:f>
              <c:numCache>
                <c:formatCode>0</c:formatCode>
                <c:ptCount val="22"/>
                <c:pt idx="0">
                  <c:v>226.76356820706525</c:v>
                </c:pt>
                <c:pt idx="1">
                  <c:v>228.11532961706484</c:v>
                </c:pt>
                <c:pt idx="2">
                  <c:v>177.83066465813656</c:v>
                </c:pt>
                <c:pt idx="3">
                  <c:v>62.873623865013315</c:v>
                </c:pt>
                <c:pt idx="4">
                  <c:v>45.132551060885177</c:v>
                </c:pt>
                <c:pt idx="5">
                  <c:v>60.212820287250466</c:v>
                </c:pt>
                <c:pt idx="6">
                  <c:v>38.981646415986503</c:v>
                </c:pt>
                <c:pt idx="7">
                  <c:v>101.04739886688944</c:v>
                </c:pt>
                <c:pt idx="8">
                  <c:v>115.68460035812194</c:v>
                </c:pt>
                <c:pt idx="9">
                  <c:v>10.701026055889338</c:v>
                </c:pt>
                <c:pt idx="10">
                  <c:v>11.96250628026308</c:v>
                </c:pt>
                <c:pt idx="11">
                  <c:v>26.491110673417069</c:v>
                </c:pt>
                <c:pt idx="12">
                  <c:v>127.57322852103923</c:v>
                </c:pt>
                <c:pt idx="13">
                  <c:v>128.58704957853891</c:v>
                </c:pt>
                <c:pt idx="14">
                  <c:v>126.3751819657832</c:v>
                </c:pt>
                <c:pt idx="15">
                  <c:v>38.062510548257585</c:v>
                </c:pt>
                <c:pt idx="16">
                  <c:v>47.997546342790002</c:v>
                </c:pt>
                <c:pt idx="17">
                  <c:v>20.913448625305236</c:v>
                </c:pt>
                <c:pt idx="18">
                  <c:v>94.603602806263638</c:v>
                </c:pt>
                <c:pt idx="19">
                  <c:v>147.92889814445365</c:v>
                </c:pt>
                <c:pt idx="20">
                  <c:v>0</c:v>
                </c:pt>
                <c:pt idx="21">
                  <c:v>28.665779820441252</c:v>
                </c:pt>
              </c:numCache>
            </c:numRef>
          </c:val>
          <c:extLst>
            <c:ext xmlns:c16="http://schemas.microsoft.com/office/drawing/2014/chart" uri="{C3380CC4-5D6E-409C-BE32-E72D297353CC}">
              <c16:uniqueId val="{00000004-A609-434A-A255-CC8D6BF37056}"/>
            </c:ext>
          </c:extLst>
        </c:ser>
        <c:ser>
          <c:idx val="1"/>
          <c:order val="1"/>
          <c:tx>
            <c:strRef>
              <c:f>'Ausgabe Tabellen'!$O$13:$O$15</c:f>
              <c:strCache>
                <c:ptCount val="1"/>
                <c:pt idx="0">
                  <c:v>A1-A3 -   GWP Referenz</c:v>
                </c:pt>
              </c:strCache>
            </c:strRef>
          </c:tx>
          <c:spPr>
            <a:solidFill>
              <a:srgbClr val="4472C4">
                <a:lumMod val="40000"/>
                <a:lumOff val="60000"/>
              </a:srgbClr>
            </a:solidFill>
            <a:ln>
              <a:noFill/>
            </a:ln>
            <a:effectLst/>
          </c:spPr>
          <c:invertIfNegative val="0"/>
          <c:cat>
            <c:multiLvlStrRef>
              <c:f>'Ausgabe Tabellen'!$M$16:$M$43</c:f>
              <c:multiLvlStrCache>
                <c:ptCount val="22"/>
                <c:lvl>
                  <c:pt idx="0">
                    <c:v>1. Stahlbeton-Bodenplatte | Referenz XPS</c:v>
                  </c:pt>
                  <c:pt idx="1">
                    <c:v>2. Stahlbeton (R-Beton) - Bodenplatte | Referenz XPS</c:v>
                  </c:pt>
                  <c:pt idx="2">
                    <c:v>0. Pfosten/Riegelsystem aus Aluminium | Referenz</c:v>
                  </c:pt>
                  <c:pt idx="3">
                    <c:v>1. Mauerwerk, einschalig - Kalksandstein (KS) mit Dämmung | Referenz EPS</c:v>
                  </c:pt>
                  <c:pt idx="4">
                    <c:v>2. Mauerwerk, einschalig - Kalksandstein (KS) mit Dämmung | Hanf</c:v>
                  </c:pt>
                  <c:pt idx="5">
                    <c:v>3. Mauerwerk, einschalig - Kalksandstein (KS) mit Dämmung | Zellulose</c:v>
                  </c:pt>
                  <c:pt idx="6">
                    <c:v>4. Mauerwerk, einschalig - Hochlochziegel (HLZ) | Referenz MiWo</c:v>
                  </c:pt>
                  <c:pt idx="7">
                    <c:v>5. Mauerwerk, einschalig - Mauerziegel (gefüllt) | Referenz</c:v>
                  </c:pt>
                  <c:pt idx="8">
                    <c:v>6. Mauerwerk, zweischalig - Vollziegel (VZ) | Referenz MiWo</c:v>
                  </c:pt>
                  <c:pt idx="9">
                    <c:v>7. Holzrahmenbau - Holzständerbauweise (HSB) | Referenz MiWo</c:v>
                  </c:pt>
                  <c:pt idx="10">
                    <c:v>8. Holzrahmenbau - Holzständerbauweise (HSB) | Stroh</c:v>
                  </c:pt>
                  <c:pt idx="11">
                    <c:v>9. Stampflehmwand | -</c:v>
                  </c:pt>
                  <c:pt idx="12">
                    <c:v>1. Außenwand Beton | konv. Beton</c:v>
                  </c:pt>
                  <c:pt idx="13">
                    <c:v>2. Außenwand Beton | R-Beton</c:v>
                  </c:pt>
                  <c:pt idx="14">
                    <c:v>1. Stahlbetondecke | Referenz EPS</c:v>
                  </c:pt>
                  <c:pt idx="15">
                    <c:v>2. Metalldecke | Referenz XPS</c:v>
                  </c:pt>
                  <c:pt idx="16">
                    <c:v>3. Holzdecke | Referenz MiWo</c:v>
                  </c:pt>
                  <c:pt idx="17">
                    <c:v>1. Schrägdach - Holzkonstruktion | Referenz MiWo</c:v>
                  </c:pt>
                  <c:pt idx="18">
                    <c:v>2. Flachdach - Stahlbeton | Referenz PIR</c:v>
                  </c:pt>
                  <c:pt idx="19">
                    <c:v>1. Heizung | Neu</c:v>
                  </c:pt>
                  <c:pt idx="20">
                    <c:v>2. Heizung | ReUse</c:v>
                  </c:pt>
                  <c:pt idx="21">
                    <c:v>1. Innenwand | Trockenbau</c:v>
                  </c:pt>
                </c:lvl>
                <c:lvl>
                  <c:pt idx="0">
                    <c:v>320 Gründung</c:v>
                  </c:pt>
                  <c:pt idx="2">
                    <c:v>330 Außenwände</c:v>
                  </c:pt>
                  <c:pt idx="14">
                    <c:v>350 Geschossdecken</c:v>
                  </c:pt>
                  <c:pt idx="17">
                    <c:v>360 Dach</c:v>
                  </c:pt>
                  <c:pt idx="19">
                    <c:v>Sonstige</c:v>
                  </c:pt>
                  <c:pt idx="21">
                    <c:v>340 Innenwände</c:v>
                  </c:pt>
                </c:lvl>
              </c:multiLvlStrCache>
            </c:multiLvlStrRef>
          </c:cat>
          <c:val>
            <c:numRef>
              <c:f>'Ausgabe Tabellen'!$O$16:$O$43</c:f>
              <c:numCache>
                <c:formatCode>0</c:formatCode>
                <c:ptCount val="22"/>
                <c:pt idx="0">
                  <c:v>231.97466194391683</c:v>
                </c:pt>
                <c:pt idx="1">
                  <c:v>233.32642335391643</c:v>
                </c:pt>
                <c:pt idx="2">
                  <c:v>177.83066465813656</c:v>
                </c:pt>
                <c:pt idx="3">
                  <c:v>66.546549146003272</c:v>
                </c:pt>
                <c:pt idx="4">
                  <c:v>46.678364997461458</c:v>
                </c:pt>
                <c:pt idx="5">
                  <c:v>62.216547280283997</c:v>
                </c:pt>
                <c:pt idx="6">
                  <c:v>40.81283345351661</c:v>
                </c:pt>
                <c:pt idx="7">
                  <c:v>101.04739886688944</c:v>
                </c:pt>
                <c:pt idx="8">
                  <c:v>117.51578739565204</c:v>
                </c:pt>
                <c:pt idx="9">
                  <c:v>12.27584690816523</c:v>
                </c:pt>
                <c:pt idx="10">
                  <c:v>12.34652722432249</c:v>
                </c:pt>
                <c:pt idx="11">
                  <c:v>32.149580682448438</c:v>
                </c:pt>
                <c:pt idx="12">
                  <c:v>129.40441555856933</c:v>
                </c:pt>
                <c:pt idx="13">
                  <c:v>130.41823661606901</c:v>
                </c:pt>
                <c:pt idx="14">
                  <c:v>130.04810724677316</c:v>
                </c:pt>
                <c:pt idx="15">
                  <c:v>43.27360428510918</c:v>
                </c:pt>
                <c:pt idx="16">
                  <c:v>49.828733380320109</c:v>
                </c:pt>
                <c:pt idx="17">
                  <c:v>22.683596094917675</c:v>
                </c:pt>
                <c:pt idx="18">
                  <c:v>98.354232231703634</c:v>
                </c:pt>
                <c:pt idx="19">
                  <c:v>147.92889814445365</c:v>
                </c:pt>
                <c:pt idx="20">
                  <c:v>0</c:v>
                </c:pt>
                <c:pt idx="21">
                  <c:v>30.496966857971358</c:v>
                </c:pt>
              </c:numCache>
            </c:numRef>
          </c:val>
          <c:extLst>
            <c:ext xmlns:c16="http://schemas.microsoft.com/office/drawing/2014/chart" uri="{C3380CC4-5D6E-409C-BE32-E72D297353CC}">
              <c16:uniqueId val="{00000005-A609-434A-A255-CC8D6BF37056}"/>
            </c:ext>
          </c:extLst>
        </c:ser>
        <c:ser>
          <c:idx val="2"/>
          <c:order val="2"/>
          <c:tx>
            <c:strRef>
              <c:f>'Ausgabe Tabellen'!$P$13:$P$15</c:f>
              <c:strCache>
                <c:ptCount val="1"/>
                <c:pt idx="0">
                  <c:v>A1-A3 -   GWP max</c:v>
                </c:pt>
              </c:strCache>
            </c:strRef>
          </c:tx>
          <c:spPr>
            <a:solidFill>
              <a:srgbClr val="FFC000"/>
            </a:solidFill>
            <a:ln>
              <a:noFill/>
            </a:ln>
            <a:effectLst/>
          </c:spPr>
          <c:invertIfNegative val="0"/>
          <c:cat>
            <c:multiLvlStrRef>
              <c:f>'Ausgabe Tabellen'!$M$16:$M$43</c:f>
              <c:multiLvlStrCache>
                <c:ptCount val="22"/>
                <c:lvl>
                  <c:pt idx="0">
                    <c:v>1. Stahlbeton-Bodenplatte | Referenz XPS</c:v>
                  </c:pt>
                  <c:pt idx="1">
                    <c:v>2. Stahlbeton (R-Beton) - Bodenplatte | Referenz XPS</c:v>
                  </c:pt>
                  <c:pt idx="2">
                    <c:v>0. Pfosten/Riegelsystem aus Aluminium | Referenz</c:v>
                  </c:pt>
                  <c:pt idx="3">
                    <c:v>1. Mauerwerk, einschalig - Kalksandstein (KS) mit Dämmung | Referenz EPS</c:v>
                  </c:pt>
                  <c:pt idx="4">
                    <c:v>2. Mauerwerk, einschalig - Kalksandstein (KS) mit Dämmung | Hanf</c:v>
                  </c:pt>
                  <c:pt idx="5">
                    <c:v>3. Mauerwerk, einschalig - Kalksandstein (KS) mit Dämmung | Zellulose</c:v>
                  </c:pt>
                  <c:pt idx="6">
                    <c:v>4. Mauerwerk, einschalig - Hochlochziegel (HLZ) | Referenz MiWo</c:v>
                  </c:pt>
                  <c:pt idx="7">
                    <c:v>5. Mauerwerk, einschalig - Mauerziegel (gefüllt) | Referenz</c:v>
                  </c:pt>
                  <c:pt idx="8">
                    <c:v>6. Mauerwerk, zweischalig - Vollziegel (VZ) | Referenz MiWo</c:v>
                  </c:pt>
                  <c:pt idx="9">
                    <c:v>7. Holzrahmenbau - Holzständerbauweise (HSB) | Referenz MiWo</c:v>
                  </c:pt>
                  <c:pt idx="10">
                    <c:v>8. Holzrahmenbau - Holzständerbauweise (HSB) | Stroh</c:v>
                  </c:pt>
                  <c:pt idx="11">
                    <c:v>9. Stampflehmwand | -</c:v>
                  </c:pt>
                  <c:pt idx="12">
                    <c:v>1. Außenwand Beton | konv. Beton</c:v>
                  </c:pt>
                  <c:pt idx="13">
                    <c:v>2. Außenwand Beton | R-Beton</c:v>
                  </c:pt>
                  <c:pt idx="14">
                    <c:v>1. Stahlbetondecke | Referenz EPS</c:v>
                  </c:pt>
                  <c:pt idx="15">
                    <c:v>2. Metalldecke | Referenz XPS</c:v>
                  </c:pt>
                  <c:pt idx="16">
                    <c:v>3. Holzdecke | Referenz MiWo</c:v>
                  </c:pt>
                  <c:pt idx="17">
                    <c:v>1. Schrägdach - Holzkonstruktion | Referenz MiWo</c:v>
                  </c:pt>
                  <c:pt idx="18">
                    <c:v>2. Flachdach - Stahlbeton | Referenz PIR</c:v>
                  </c:pt>
                  <c:pt idx="19">
                    <c:v>1. Heizung | Neu</c:v>
                  </c:pt>
                  <c:pt idx="20">
                    <c:v>2. Heizung | ReUse</c:v>
                  </c:pt>
                  <c:pt idx="21">
                    <c:v>1. Innenwand | Trockenbau</c:v>
                  </c:pt>
                </c:lvl>
                <c:lvl>
                  <c:pt idx="0">
                    <c:v>320 Gründung</c:v>
                  </c:pt>
                  <c:pt idx="2">
                    <c:v>330 Außenwände</c:v>
                  </c:pt>
                  <c:pt idx="14">
                    <c:v>350 Geschossdecken</c:v>
                  </c:pt>
                  <c:pt idx="17">
                    <c:v>360 Dach</c:v>
                  </c:pt>
                  <c:pt idx="19">
                    <c:v>Sonstige</c:v>
                  </c:pt>
                  <c:pt idx="21">
                    <c:v>340 Innenwände</c:v>
                  </c:pt>
                </c:lvl>
              </c:multiLvlStrCache>
            </c:multiLvlStrRef>
          </c:cat>
          <c:val>
            <c:numRef>
              <c:f>'Ausgabe Tabellen'!$P$16:$P$43</c:f>
              <c:numCache>
                <c:formatCode>0</c:formatCode>
                <c:ptCount val="22"/>
                <c:pt idx="0">
                  <c:v>242.39684941762005</c:v>
                </c:pt>
                <c:pt idx="1">
                  <c:v>243.74861082761959</c:v>
                </c:pt>
                <c:pt idx="2">
                  <c:v>177.83066465813656</c:v>
                </c:pt>
                <c:pt idx="3">
                  <c:v>73.892399707983174</c:v>
                </c:pt>
                <c:pt idx="4">
                  <c:v>49.769992870614011</c:v>
                </c:pt>
                <c:pt idx="5">
                  <c:v>66.224001266351053</c:v>
                </c:pt>
                <c:pt idx="6">
                  <c:v>44.475207528576824</c:v>
                </c:pt>
                <c:pt idx="7">
                  <c:v>101.04739886688944</c:v>
                </c:pt>
                <c:pt idx="8">
                  <c:v>121.17816147071227</c:v>
                </c:pt>
                <c:pt idx="9">
                  <c:v>15.425488612717015</c:v>
                </c:pt>
                <c:pt idx="10">
                  <c:v>13.114569112441313</c:v>
                </c:pt>
                <c:pt idx="11">
                  <c:v>43.466520700511168</c:v>
                </c:pt>
                <c:pt idx="12">
                  <c:v>133.06678963362955</c:v>
                </c:pt>
                <c:pt idx="13">
                  <c:v>134.08061069112921</c:v>
                </c:pt>
                <c:pt idx="14">
                  <c:v>137.39395780875304</c:v>
                </c:pt>
                <c:pt idx="15">
                  <c:v>53.695791758812376</c:v>
                </c:pt>
                <c:pt idx="16">
                  <c:v>53.491107455380323</c:v>
                </c:pt>
                <c:pt idx="17">
                  <c:v>26.223891034142547</c:v>
                </c:pt>
                <c:pt idx="18">
                  <c:v>105.85549108258363</c:v>
                </c:pt>
                <c:pt idx="19">
                  <c:v>147.92889814445365</c:v>
                </c:pt>
                <c:pt idx="20">
                  <c:v>0</c:v>
                </c:pt>
                <c:pt idx="21">
                  <c:v>34.159340933031572</c:v>
                </c:pt>
              </c:numCache>
            </c:numRef>
          </c:val>
          <c:extLst>
            <c:ext xmlns:c16="http://schemas.microsoft.com/office/drawing/2014/chart" uri="{C3380CC4-5D6E-409C-BE32-E72D297353CC}">
              <c16:uniqueId val="{00000006-A609-434A-A255-CC8D6BF37056}"/>
            </c:ext>
          </c:extLst>
        </c:ser>
        <c:ser>
          <c:idx val="3"/>
          <c:order val="3"/>
          <c:tx>
            <c:strRef>
              <c:f>'Ausgabe Tabellen'!$Q$13:$Q$15</c:f>
              <c:strCache>
                <c:ptCount val="1"/>
                <c:pt idx="0">
                  <c:v>A4 -   GWP min</c:v>
                </c:pt>
              </c:strCache>
            </c:strRef>
          </c:tx>
          <c:spPr>
            <a:solidFill>
              <a:srgbClr val="70AD47">
                <a:lumMod val="75000"/>
              </a:srgbClr>
            </a:solidFill>
            <a:ln>
              <a:noFill/>
            </a:ln>
            <a:effectLst/>
          </c:spPr>
          <c:invertIfNegative val="0"/>
          <c:cat>
            <c:multiLvlStrRef>
              <c:f>'Ausgabe Tabellen'!$M$16:$M$43</c:f>
              <c:multiLvlStrCache>
                <c:ptCount val="22"/>
                <c:lvl>
                  <c:pt idx="0">
                    <c:v>1. Stahlbeton-Bodenplatte | Referenz XPS</c:v>
                  </c:pt>
                  <c:pt idx="1">
                    <c:v>2. Stahlbeton (R-Beton) - Bodenplatte | Referenz XPS</c:v>
                  </c:pt>
                  <c:pt idx="2">
                    <c:v>0. Pfosten/Riegelsystem aus Aluminium | Referenz</c:v>
                  </c:pt>
                  <c:pt idx="3">
                    <c:v>1. Mauerwerk, einschalig - Kalksandstein (KS) mit Dämmung | Referenz EPS</c:v>
                  </c:pt>
                  <c:pt idx="4">
                    <c:v>2. Mauerwerk, einschalig - Kalksandstein (KS) mit Dämmung | Hanf</c:v>
                  </c:pt>
                  <c:pt idx="5">
                    <c:v>3. Mauerwerk, einschalig - Kalksandstein (KS) mit Dämmung | Zellulose</c:v>
                  </c:pt>
                  <c:pt idx="6">
                    <c:v>4. Mauerwerk, einschalig - Hochlochziegel (HLZ) | Referenz MiWo</c:v>
                  </c:pt>
                  <c:pt idx="7">
                    <c:v>5. Mauerwerk, einschalig - Mauerziegel (gefüllt) | Referenz</c:v>
                  </c:pt>
                  <c:pt idx="8">
                    <c:v>6. Mauerwerk, zweischalig - Vollziegel (VZ) | Referenz MiWo</c:v>
                  </c:pt>
                  <c:pt idx="9">
                    <c:v>7. Holzrahmenbau - Holzständerbauweise (HSB) | Referenz MiWo</c:v>
                  </c:pt>
                  <c:pt idx="10">
                    <c:v>8. Holzrahmenbau - Holzständerbauweise (HSB) | Stroh</c:v>
                  </c:pt>
                  <c:pt idx="11">
                    <c:v>9. Stampflehmwand | -</c:v>
                  </c:pt>
                  <c:pt idx="12">
                    <c:v>1. Außenwand Beton | konv. Beton</c:v>
                  </c:pt>
                  <c:pt idx="13">
                    <c:v>2. Außenwand Beton | R-Beton</c:v>
                  </c:pt>
                  <c:pt idx="14">
                    <c:v>1. Stahlbetondecke | Referenz EPS</c:v>
                  </c:pt>
                  <c:pt idx="15">
                    <c:v>2. Metalldecke | Referenz XPS</c:v>
                  </c:pt>
                  <c:pt idx="16">
                    <c:v>3. Holzdecke | Referenz MiWo</c:v>
                  </c:pt>
                  <c:pt idx="17">
                    <c:v>1. Schrägdach - Holzkonstruktion | Referenz MiWo</c:v>
                  </c:pt>
                  <c:pt idx="18">
                    <c:v>2. Flachdach - Stahlbeton | Referenz PIR</c:v>
                  </c:pt>
                  <c:pt idx="19">
                    <c:v>1. Heizung | Neu</c:v>
                  </c:pt>
                  <c:pt idx="20">
                    <c:v>2. Heizung | ReUse</c:v>
                  </c:pt>
                  <c:pt idx="21">
                    <c:v>1. Innenwand | Trockenbau</c:v>
                  </c:pt>
                </c:lvl>
                <c:lvl>
                  <c:pt idx="0">
                    <c:v>320 Gründung</c:v>
                  </c:pt>
                  <c:pt idx="2">
                    <c:v>330 Außenwände</c:v>
                  </c:pt>
                  <c:pt idx="14">
                    <c:v>350 Geschossdecken</c:v>
                  </c:pt>
                  <c:pt idx="17">
                    <c:v>360 Dach</c:v>
                  </c:pt>
                  <c:pt idx="19">
                    <c:v>Sonstige</c:v>
                  </c:pt>
                  <c:pt idx="21">
                    <c:v>340 Innenwände</c:v>
                  </c:pt>
                </c:lvl>
              </c:multiLvlStrCache>
            </c:multiLvlStrRef>
          </c:cat>
          <c:val>
            <c:numRef>
              <c:f>'Ausgabe Tabellen'!$Q$16:$Q$43</c:f>
              <c:numCache>
                <c:formatCode>0</c:formatCode>
                <c:ptCount val="22"/>
                <c:pt idx="0">
                  <c:v>14.018826926860907</c:v>
                </c:pt>
                <c:pt idx="1">
                  <c:v>23.465632334781759</c:v>
                </c:pt>
                <c:pt idx="2">
                  <c:v>0.26617535729285186</c:v>
                </c:pt>
                <c:pt idx="3">
                  <c:v>3.5643300117488255</c:v>
                </c:pt>
                <c:pt idx="4">
                  <c:v>2.6218756648540986</c:v>
                </c:pt>
                <c:pt idx="5">
                  <c:v>3.6988695559804849</c:v>
                </c:pt>
                <c:pt idx="6">
                  <c:v>1.5239749093003463</c:v>
                </c:pt>
                <c:pt idx="7">
                  <c:v>2.2897856099916352</c:v>
                </c:pt>
                <c:pt idx="8">
                  <c:v>3.614661352036928</c:v>
                </c:pt>
                <c:pt idx="9">
                  <c:v>0.2683047601511947</c:v>
                </c:pt>
                <c:pt idx="10">
                  <c:v>0.50689467132460564</c:v>
                </c:pt>
                <c:pt idx="11">
                  <c:v>5.8953486043610992</c:v>
                </c:pt>
                <c:pt idx="12">
                  <c:v>7.1700865881963196</c:v>
                </c:pt>
                <c:pt idx="13">
                  <c:v>14.255190644136958</c:v>
                </c:pt>
                <c:pt idx="14">
                  <c:v>5.989816658440307</c:v>
                </c:pt>
                <c:pt idx="15">
                  <c:v>0.35841721747470201</c:v>
                </c:pt>
                <c:pt idx="16">
                  <c:v>1.9547918239587041</c:v>
                </c:pt>
                <c:pt idx="17">
                  <c:v>0.49344071690143954</c:v>
                </c:pt>
                <c:pt idx="18">
                  <c:v>5.4685969133413961</c:v>
                </c:pt>
                <c:pt idx="19">
                  <c:v>0.36296639630843436</c:v>
                </c:pt>
                <c:pt idx="20">
                  <c:v>1.4518655852337374</c:v>
                </c:pt>
                <c:pt idx="21">
                  <c:v>1.0306309834379224</c:v>
                </c:pt>
              </c:numCache>
            </c:numRef>
          </c:val>
          <c:extLst>
            <c:ext xmlns:c16="http://schemas.microsoft.com/office/drawing/2014/chart" uri="{C3380CC4-5D6E-409C-BE32-E72D297353CC}">
              <c16:uniqueId val="{00000000-74BF-4E7B-8A7D-A261257FFF29}"/>
            </c:ext>
          </c:extLst>
        </c:ser>
        <c:ser>
          <c:idx val="4"/>
          <c:order val="4"/>
          <c:tx>
            <c:strRef>
              <c:f>'Ausgabe Tabellen'!$R$13:$R$15</c:f>
              <c:strCache>
                <c:ptCount val="1"/>
                <c:pt idx="0">
                  <c:v>A4 -   GWP Referenz</c:v>
                </c:pt>
              </c:strCache>
            </c:strRef>
          </c:tx>
          <c:spPr>
            <a:solidFill>
              <a:srgbClr val="5B9BD5"/>
            </a:solidFill>
            <a:ln>
              <a:noFill/>
            </a:ln>
            <a:effectLst/>
          </c:spPr>
          <c:invertIfNegative val="0"/>
          <c:cat>
            <c:multiLvlStrRef>
              <c:f>'Ausgabe Tabellen'!$M$16:$M$43</c:f>
              <c:multiLvlStrCache>
                <c:ptCount val="22"/>
                <c:lvl>
                  <c:pt idx="0">
                    <c:v>1. Stahlbeton-Bodenplatte | Referenz XPS</c:v>
                  </c:pt>
                  <c:pt idx="1">
                    <c:v>2. Stahlbeton (R-Beton) - Bodenplatte | Referenz XPS</c:v>
                  </c:pt>
                  <c:pt idx="2">
                    <c:v>0. Pfosten/Riegelsystem aus Aluminium | Referenz</c:v>
                  </c:pt>
                  <c:pt idx="3">
                    <c:v>1. Mauerwerk, einschalig - Kalksandstein (KS) mit Dämmung | Referenz EPS</c:v>
                  </c:pt>
                  <c:pt idx="4">
                    <c:v>2. Mauerwerk, einschalig - Kalksandstein (KS) mit Dämmung | Hanf</c:v>
                  </c:pt>
                  <c:pt idx="5">
                    <c:v>3. Mauerwerk, einschalig - Kalksandstein (KS) mit Dämmung | Zellulose</c:v>
                  </c:pt>
                  <c:pt idx="6">
                    <c:v>4. Mauerwerk, einschalig - Hochlochziegel (HLZ) | Referenz MiWo</c:v>
                  </c:pt>
                  <c:pt idx="7">
                    <c:v>5. Mauerwerk, einschalig - Mauerziegel (gefüllt) | Referenz</c:v>
                  </c:pt>
                  <c:pt idx="8">
                    <c:v>6. Mauerwerk, zweischalig - Vollziegel (VZ) | Referenz MiWo</c:v>
                  </c:pt>
                  <c:pt idx="9">
                    <c:v>7. Holzrahmenbau - Holzständerbauweise (HSB) | Referenz MiWo</c:v>
                  </c:pt>
                  <c:pt idx="10">
                    <c:v>8. Holzrahmenbau - Holzständerbauweise (HSB) | Stroh</c:v>
                  </c:pt>
                  <c:pt idx="11">
                    <c:v>9. Stampflehmwand | -</c:v>
                  </c:pt>
                  <c:pt idx="12">
                    <c:v>1. Außenwand Beton | konv. Beton</c:v>
                  </c:pt>
                  <c:pt idx="13">
                    <c:v>2. Außenwand Beton | R-Beton</c:v>
                  </c:pt>
                  <c:pt idx="14">
                    <c:v>1. Stahlbetondecke | Referenz EPS</c:v>
                  </c:pt>
                  <c:pt idx="15">
                    <c:v>2. Metalldecke | Referenz XPS</c:v>
                  </c:pt>
                  <c:pt idx="16">
                    <c:v>3. Holzdecke | Referenz MiWo</c:v>
                  </c:pt>
                  <c:pt idx="17">
                    <c:v>1. Schrägdach - Holzkonstruktion | Referenz MiWo</c:v>
                  </c:pt>
                  <c:pt idx="18">
                    <c:v>2. Flachdach - Stahlbeton | Referenz PIR</c:v>
                  </c:pt>
                  <c:pt idx="19">
                    <c:v>1. Heizung | Neu</c:v>
                  </c:pt>
                  <c:pt idx="20">
                    <c:v>2. Heizung | ReUse</c:v>
                  </c:pt>
                  <c:pt idx="21">
                    <c:v>1. Innenwand | Trockenbau</c:v>
                  </c:pt>
                </c:lvl>
                <c:lvl>
                  <c:pt idx="0">
                    <c:v>320 Gründung</c:v>
                  </c:pt>
                  <c:pt idx="2">
                    <c:v>330 Außenwände</c:v>
                  </c:pt>
                  <c:pt idx="14">
                    <c:v>350 Geschossdecken</c:v>
                  </c:pt>
                  <c:pt idx="17">
                    <c:v>360 Dach</c:v>
                  </c:pt>
                  <c:pt idx="19">
                    <c:v>Sonstige</c:v>
                  </c:pt>
                  <c:pt idx="21">
                    <c:v>340 Innenwände</c:v>
                  </c:pt>
                </c:lvl>
              </c:multiLvlStrCache>
            </c:multiLvlStrRef>
          </c:cat>
          <c:val>
            <c:numRef>
              <c:f>'Ausgabe Tabellen'!$R$16:$R$43</c:f>
              <c:numCache>
                <c:formatCode>0</c:formatCode>
                <c:ptCount val="22"/>
                <c:pt idx="0">
                  <c:v>14.031216179854901</c:v>
                </c:pt>
                <c:pt idx="1">
                  <c:v>23.478021587775753</c:v>
                </c:pt>
                <c:pt idx="2">
                  <c:v>0.26617535729285186</c:v>
                </c:pt>
                <c:pt idx="3">
                  <c:v>3.5740091156503837</c:v>
                </c:pt>
                <c:pt idx="4">
                  <c:v>2.6365879027844672</c:v>
                </c:pt>
                <c:pt idx="5">
                  <c:v>3.7298426884654714</c:v>
                </c:pt>
                <c:pt idx="6">
                  <c:v>1.541881251518229</c:v>
                </c:pt>
                <c:pt idx="7">
                  <c:v>2.2897856099916352</c:v>
                </c:pt>
                <c:pt idx="8">
                  <c:v>3.6325676942548109</c:v>
                </c:pt>
                <c:pt idx="9">
                  <c:v>0.28369453535467232</c:v>
                </c:pt>
                <c:pt idx="10">
                  <c:v>0.53786780380959187</c:v>
                </c:pt>
                <c:pt idx="11">
                  <c:v>5.9537136008874949</c:v>
                </c:pt>
                <c:pt idx="12">
                  <c:v>7.1878961393751863</c:v>
                </c:pt>
                <c:pt idx="13">
                  <c:v>14.273000195315825</c:v>
                </c:pt>
                <c:pt idx="14">
                  <c:v>5.9994957623418657</c:v>
                </c:pt>
                <c:pt idx="15">
                  <c:v>0.37080647046869653</c:v>
                </c:pt>
                <c:pt idx="16">
                  <c:v>1.972698166176587</c:v>
                </c:pt>
                <c:pt idx="17">
                  <c:v>0.51066952184621317</c:v>
                </c:pt>
                <c:pt idx="18">
                  <c:v>5.4802118380232656</c:v>
                </c:pt>
                <c:pt idx="19">
                  <c:v>0.36296639630843436</c:v>
                </c:pt>
                <c:pt idx="20">
                  <c:v>1.4518655852337374</c:v>
                </c:pt>
                <c:pt idx="21">
                  <c:v>1.0484405346167895</c:v>
                </c:pt>
              </c:numCache>
            </c:numRef>
          </c:val>
          <c:extLst>
            <c:ext xmlns:c16="http://schemas.microsoft.com/office/drawing/2014/chart" uri="{C3380CC4-5D6E-409C-BE32-E72D297353CC}">
              <c16:uniqueId val="{00000001-74BF-4E7B-8A7D-A261257FFF29}"/>
            </c:ext>
          </c:extLst>
        </c:ser>
        <c:ser>
          <c:idx val="5"/>
          <c:order val="5"/>
          <c:tx>
            <c:strRef>
              <c:f>'Ausgabe Tabellen'!$S$13:$S$15</c:f>
              <c:strCache>
                <c:ptCount val="1"/>
                <c:pt idx="0">
                  <c:v>A4 -   GWP max</c:v>
                </c:pt>
              </c:strCache>
            </c:strRef>
          </c:tx>
          <c:spPr>
            <a:solidFill>
              <a:srgbClr val="FFC000">
                <a:lumMod val="75000"/>
              </a:srgbClr>
            </a:solidFill>
            <a:ln>
              <a:noFill/>
            </a:ln>
            <a:effectLst/>
          </c:spPr>
          <c:invertIfNegative val="0"/>
          <c:cat>
            <c:multiLvlStrRef>
              <c:f>'Ausgabe Tabellen'!$M$16:$M$43</c:f>
              <c:multiLvlStrCache>
                <c:ptCount val="22"/>
                <c:lvl>
                  <c:pt idx="0">
                    <c:v>1. Stahlbeton-Bodenplatte | Referenz XPS</c:v>
                  </c:pt>
                  <c:pt idx="1">
                    <c:v>2. Stahlbeton (R-Beton) - Bodenplatte | Referenz XPS</c:v>
                  </c:pt>
                  <c:pt idx="2">
                    <c:v>0. Pfosten/Riegelsystem aus Aluminium | Referenz</c:v>
                  </c:pt>
                  <c:pt idx="3">
                    <c:v>1. Mauerwerk, einschalig - Kalksandstein (KS) mit Dämmung | Referenz EPS</c:v>
                  </c:pt>
                  <c:pt idx="4">
                    <c:v>2. Mauerwerk, einschalig - Kalksandstein (KS) mit Dämmung | Hanf</c:v>
                  </c:pt>
                  <c:pt idx="5">
                    <c:v>3. Mauerwerk, einschalig - Kalksandstein (KS) mit Dämmung | Zellulose</c:v>
                  </c:pt>
                  <c:pt idx="6">
                    <c:v>4. Mauerwerk, einschalig - Hochlochziegel (HLZ) | Referenz MiWo</c:v>
                  </c:pt>
                  <c:pt idx="7">
                    <c:v>5. Mauerwerk, einschalig - Mauerziegel (gefüllt) | Referenz</c:v>
                  </c:pt>
                  <c:pt idx="8">
                    <c:v>6. Mauerwerk, zweischalig - Vollziegel (VZ) | Referenz MiWo</c:v>
                  </c:pt>
                  <c:pt idx="9">
                    <c:v>7. Holzrahmenbau - Holzständerbauweise (HSB) | Referenz MiWo</c:v>
                  </c:pt>
                  <c:pt idx="10">
                    <c:v>8. Holzrahmenbau - Holzständerbauweise (HSB) | Stroh</c:v>
                  </c:pt>
                  <c:pt idx="11">
                    <c:v>9. Stampflehmwand | -</c:v>
                  </c:pt>
                  <c:pt idx="12">
                    <c:v>1. Außenwand Beton | konv. Beton</c:v>
                  </c:pt>
                  <c:pt idx="13">
                    <c:v>2. Außenwand Beton | R-Beton</c:v>
                  </c:pt>
                  <c:pt idx="14">
                    <c:v>1. Stahlbetondecke | Referenz EPS</c:v>
                  </c:pt>
                  <c:pt idx="15">
                    <c:v>2. Metalldecke | Referenz XPS</c:v>
                  </c:pt>
                  <c:pt idx="16">
                    <c:v>3. Holzdecke | Referenz MiWo</c:v>
                  </c:pt>
                  <c:pt idx="17">
                    <c:v>1. Schrägdach - Holzkonstruktion | Referenz MiWo</c:v>
                  </c:pt>
                  <c:pt idx="18">
                    <c:v>2. Flachdach - Stahlbeton | Referenz PIR</c:v>
                  </c:pt>
                  <c:pt idx="19">
                    <c:v>1. Heizung | Neu</c:v>
                  </c:pt>
                  <c:pt idx="20">
                    <c:v>2. Heizung | ReUse</c:v>
                  </c:pt>
                  <c:pt idx="21">
                    <c:v>1. Innenwand | Trockenbau</c:v>
                  </c:pt>
                </c:lvl>
                <c:lvl>
                  <c:pt idx="0">
                    <c:v>320 Gründung</c:v>
                  </c:pt>
                  <c:pt idx="2">
                    <c:v>330 Außenwände</c:v>
                  </c:pt>
                  <c:pt idx="14">
                    <c:v>350 Geschossdecken</c:v>
                  </c:pt>
                  <c:pt idx="17">
                    <c:v>360 Dach</c:v>
                  </c:pt>
                  <c:pt idx="19">
                    <c:v>Sonstige</c:v>
                  </c:pt>
                  <c:pt idx="21">
                    <c:v>340 Innenwände</c:v>
                  </c:pt>
                </c:lvl>
              </c:multiLvlStrCache>
            </c:multiLvlStrRef>
          </c:cat>
          <c:val>
            <c:numRef>
              <c:f>'Ausgabe Tabellen'!$S$16:$S$43</c:f>
              <c:numCache>
                <c:formatCode>0</c:formatCode>
                <c:ptCount val="22"/>
                <c:pt idx="0">
                  <c:v>14.05599468584289</c:v>
                </c:pt>
                <c:pt idx="1">
                  <c:v>23.502800093763742</c:v>
                </c:pt>
                <c:pt idx="2">
                  <c:v>0.26617535729285186</c:v>
                </c:pt>
                <c:pt idx="3">
                  <c:v>3.5933673234535002</c:v>
                </c:pt>
                <c:pt idx="4">
                  <c:v>2.6660123786452044</c:v>
                </c:pt>
                <c:pt idx="5">
                  <c:v>3.7917889534354439</c:v>
                </c:pt>
                <c:pt idx="6">
                  <c:v>1.5776939359539945</c:v>
                </c:pt>
                <c:pt idx="7">
                  <c:v>2.2897856099916352</c:v>
                </c:pt>
                <c:pt idx="8">
                  <c:v>3.6683803786905762</c:v>
                </c:pt>
                <c:pt idx="9">
                  <c:v>0.31457087680064311</c:v>
                </c:pt>
                <c:pt idx="10">
                  <c:v>0.59981406877956478</c:v>
                </c:pt>
                <c:pt idx="11">
                  <c:v>6.0704435939402881</c:v>
                </c:pt>
                <c:pt idx="12">
                  <c:v>7.2237088238109521</c:v>
                </c:pt>
                <c:pt idx="13">
                  <c:v>14.30881287975159</c:v>
                </c:pt>
                <c:pt idx="14">
                  <c:v>6.0188539701449821</c:v>
                </c:pt>
                <c:pt idx="15">
                  <c:v>0.39558497645668567</c:v>
                </c:pt>
                <c:pt idx="16">
                  <c:v>2.0085108506123523</c:v>
                </c:pt>
                <c:pt idx="17">
                  <c:v>0.54532071381379177</c:v>
                </c:pt>
                <c:pt idx="18">
                  <c:v>5.5034416873870056</c:v>
                </c:pt>
                <c:pt idx="19">
                  <c:v>0.36296639630843436</c:v>
                </c:pt>
                <c:pt idx="20">
                  <c:v>1.4518655852337374</c:v>
                </c:pt>
                <c:pt idx="21">
                  <c:v>1.0842532190525551</c:v>
                </c:pt>
              </c:numCache>
            </c:numRef>
          </c:val>
          <c:extLst>
            <c:ext xmlns:c16="http://schemas.microsoft.com/office/drawing/2014/chart" uri="{C3380CC4-5D6E-409C-BE32-E72D297353CC}">
              <c16:uniqueId val="{00000002-74BF-4E7B-8A7D-A261257FFF29}"/>
            </c:ext>
          </c:extLst>
        </c:ser>
        <c:dLbls>
          <c:showLegendKey val="0"/>
          <c:showVal val="0"/>
          <c:showCatName val="0"/>
          <c:showSerName val="0"/>
          <c:showPercent val="0"/>
          <c:showBubbleSize val="0"/>
        </c:dLbls>
        <c:gapWidth val="219"/>
        <c:axId val="1417204367"/>
        <c:axId val="862482223"/>
      </c:barChart>
      <c:catAx>
        <c:axId val="1417204367"/>
        <c:scaling>
          <c:orientation val="minMax"/>
        </c:scaling>
        <c:delete val="0"/>
        <c:axPos val="l"/>
        <c:numFmt formatCode="General" sourceLinked="1"/>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800" b="0" i="0" u="none" strike="noStrike" kern="1200" baseline="0">
                <a:solidFill>
                  <a:sysClr val="windowText" lastClr="000000"/>
                </a:solidFill>
                <a:latin typeface="+mn-lt"/>
                <a:ea typeface="+mn-ea"/>
                <a:cs typeface="+mn-cs"/>
              </a:defRPr>
            </a:pPr>
            <a:endParaRPr lang="de-DE"/>
          </a:p>
        </c:txPr>
        <c:crossAx val="862482223"/>
        <c:crosses val="autoZero"/>
        <c:auto val="1"/>
        <c:lblAlgn val="ctr"/>
        <c:lblOffset val="100"/>
        <c:noMultiLvlLbl val="0"/>
      </c:catAx>
      <c:valAx>
        <c:axId val="862482223"/>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800" b="0" i="0" u="none" strike="noStrike" kern="1200" baseline="0">
                <a:solidFill>
                  <a:sysClr val="windowText" lastClr="000000"/>
                </a:solidFill>
                <a:latin typeface="+mn-lt"/>
                <a:ea typeface="+mn-ea"/>
                <a:cs typeface="+mn-cs"/>
              </a:defRPr>
            </a:pPr>
            <a:endParaRPr lang="de-DE"/>
          </a:p>
        </c:txPr>
        <c:crossAx val="1417204367"/>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800" b="0" i="0" u="none" strike="noStrike" kern="1200" baseline="0">
              <a:solidFill>
                <a:sysClr val="windowText" lastClr="000000"/>
              </a:solidFill>
              <a:latin typeface="+mn-lt"/>
              <a:ea typeface="+mn-ea"/>
              <a:cs typeface="+mn-cs"/>
            </a:defRPr>
          </a:pPr>
          <a:endParaRPr lang="de-DE"/>
        </a:p>
      </c:txPr>
    </c:legend>
    <c:plotVisOnly val="1"/>
    <c:dispBlanksAs val="gap"/>
    <c:showDLblsOverMax val="0"/>
    <c:extLst/>
  </c:chart>
  <c:spPr>
    <a:solidFill>
      <a:schemeClr val="bg1"/>
    </a:solidFill>
    <a:ln w="9525" cap="flat" cmpd="sng" algn="ctr">
      <a:solidFill>
        <a:schemeClr val="tx1">
          <a:lumMod val="15000"/>
          <a:lumOff val="85000"/>
        </a:schemeClr>
      </a:solidFill>
      <a:round/>
    </a:ln>
    <a:effectLst/>
  </c:spPr>
  <c:txPr>
    <a:bodyPr/>
    <a:lstStyle/>
    <a:p>
      <a:pPr>
        <a:defRPr sz="1800">
          <a:solidFill>
            <a:sysClr val="windowText" lastClr="000000"/>
          </a:solidFill>
        </a:defRPr>
      </a:pPr>
      <a:endParaRPr lang="de-DE"/>
    </a:p>
  </c:txPr>
  <c:printSettings>
    <c:headerFooter/>
    <c:pageMargins b="0.78740157499999996" l="0.7" r="0.7" t="0.78740157499999996" header="0.3" footer="0.3"/>
    <c:pageSetup orientation="landscape"/>
  </c:printSettings>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pivotSource>
    <c:name>[Leitlinien_LeitRix_final-revised-26.03.2025.xlsm]Ausgabe Tabellen!Pivot_RMI</c:name>
    <c:fmtId val="23"/>
  </c:pivotSource>
  <c:chart>
    <c:title>
      <c:tx>
        <c:rich>
          <a:bodyPr rot="0" spcFirstLastPara="1" vertOverflow="ellipsis" vert="horz" wrap="square" anchor="ctr" anchorCtr="1"/>
          <a:lstStyle/>
          <a:p>
            <a:pPr>
              <a:defRPr sz="2800" b="0" i="0" u="none" strike="noStrike" kern="1200" spc="0" baseline="0">
                <a:solidFill>
                  <a:sysClr val="windowText" lastClr="000000"/>
                </a:solidFill>
                <a:latin typeface="+mn-lt"/>
                <a:ea typeface="+mn-ea"/>
                <a:cs typeface="+mn-cs"/>
              </a:defRPr>
            </a:pPr>
            <a:r>
              <a:rPr lang="de-DE"/>
              <a:t>Material-Fußabdruck bei Variation Dämmung | +8, 0 -4 cm | RMI [kg Primärrohstoffe/m²]</a:t>
            </a:r>
          </a:p>
        </c:rich>
      </c:tx>
      <c:overlay val="0"/>
      <c:spPr>
        <a:noFill/>
        <a:ln>
          <a:noFill/>
        </a:ln>
        <a:effectLst/>
      </c:spPr>
      <c:txPr>
        <a:bodyPr rot="0" spcFirstLastPara="1" vertOverflow="ellipsis" vert="horz" wrap="square" anchor="ctr" anchorCtr="1"/>
        <a:lstStyle/>
        <a:p>
          <a:pPr>
            <a:defRPr sz="2800" b="0" i="0" u="none" strike="noStrike" kern="1200" spc="0" baseline="0">
              <a:solidFill>
                <a:sysClr val="windowText" lastClr="000000"/>
              </a:solidFill>
              <a:latin typeface="+mn-lt"/>
              <a:ea typeface="+mn-ea"/>
              <a:cs typeface="+mn-cs"/>
            </a:defRPr>
          </a:pPr>
          <a:endParaRPr lang="de-DE"/>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6"/>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7"/>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8"/>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9"/>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2"/>
        <c:spPr>
          <a:solidFill>
            <a:srgbClr val="FF99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5"/>
        <c:spPr>
          <a:solidFill>
            <a:schemeClr val="accent1">
              <a:lumMod val="40000"/>
              <a:lumOff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6"/>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7"/>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8"/>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9"/>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0"/>
        <c:spPr>
          <a:solidFill>
            <a:schemeClr val="accent1">
              <a:lumMod val="40000"/>
              <a:lumOff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1"/>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2"/>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3"/>
        <c:spPr>
          <a:solidFill>
            <a:schemeClr val="accent1">
              <a:lumMod val="40000"/>
              <a:lumOff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4"/>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5"/>
        <c:spPr>
          <a:solidFill>
            <a:schemeClr val="accent6"/>
          </a:solidFill>
          <a:ln>
            <a:noFill/>
          </a:ln>
          <a:effectLst/>
        </c:spPr>
        <c:marker>
          <c:symbol val="none"/>
        </c:marker>
        <c:dLbl>
          <c:idx val="0"/>
          <c:spPr>
            <a:noFill/>
            <a:ln>
              <a:noFill/>
            </a:ln>
            <a:effectLst/>
          </c:spPr>
          <c:txPr>
            <a:bodyPr rot="0" spcFirstLastPara="1" vertOverflow="ellipsis" vert="horz" wrap="square" anchor="ctr" anchorCtr="1"/>
            <a:lstStyle/>
            <a:p>
              <a:pPr>
                <a:defRPr sz="12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6"/>
        <c:spPr>
          <a:solidFill>
            <a:schemeClr val="accent1">
              <a:lumMod val="40000"/>
              <a:lumOff val="60000"/>
            </a:schemeClr>
          </a:solidFill>
          <a:ln>
            <a:noFill/>
          </a:ln>
          <a:effectLst/>
        </c:spPr>
        <c:marker>
          <c:symbol val="none"/>
        </c:marker>
        <c:dLbl>
          <c:idx val="0"/>
          <c:spPr>
            <a:noFill/>
            <a:ln>
              <a:noFill/>
            </a:ln>
            <a:effectLst/>
          </c:spPr>
          <c:txPr>
            <a:bodyPr rot="0" spcFirstLastPara="1" vertOverflow="ellipsis" vert="horz" wrap="square" anchor="ctr" anchorCtr="1"/>
            <a:lstStyle/>
            <a:p>
              <a:pPr>
                <a:defRPr sz="12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7"/>
        <c:spPr>
          <a:solidFill>
            <a:srgbClr val="FFC000"/>
          </a:solidFill>
          <a:ln>
            <a:noFill/>
          </a:ln>
          <a:effectLst/>
        </c:spPr>
        <c:marker>
          <c:symbol val="none"/>
        </c:marker>
        <c:dLbl>
          <c:idx val="0"/>
          <c:spPr>
            <a:noFill/>
            <a:ln>
              <a:noFill/>
            </a:ln>
            <a:effectLst/>
          </c:spPr>
          <c:txPr>
            <a:bodyPr rot="0" spcFirstLastPara="1" vertOverflow="ellipsis" vert="horz" wrap="square" anchor="ctr" anchorCtr="1"/>
            <a:lstStyle/>
            <a:p>
              <a:pPr>
                <a:defRPr sz="12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8"/>
        <c:spPr>
          <a:solidFill>
            <a:schemeClr val="accent6"/>
          </a:solidFill>
          <a:ln>
            <a:noFill/>
          </a:ln>
          <a:effectLst/>
        </c:spPr>
        <c:marker>
          <c:symbol val="none"/>
        </c:marker>
        <c:dLbl>
          <c:idx val="0"/>
          <c:spPr>
            <a:noFill/>
            <a:ln>
              <a:noFill/>
            </a:ln>
            <a:effectLst/>
          </c:spPr>
          <c:txPr>
            <a:bodyPr rot="0" spcFirstLastPara="1" vertOverflow="ellipsis" vert="horz" wrap="square" anchor="ctr" anchorCtr="1"/>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9"/>
        <c:spPr>
          <a:solidFill>
            <a:schemeClr val="accent1">
              <a:lumMod val="40000"/>
              <a:lumOff val="60000"/>
            </a:schemeClr>
          </a:solidFill>
          <a:ln>
            <a:noFill/>
          </a:ln>
          <a:effectLst/>
        </c:spPr>
        <c:marker>
          <c:symbol val="none"/>
        </c:marker>
        <c:dLbl>
          <c:idx val="0"/>
          <c:spPr>
            <a:noFill/>
            <a:ln>
              <a:noFill/>
            </a:ln>
            <a:effectLst/>
          </c:spPr>
          <c:txPr>
            <a:bodyPr rot="0" spcFirstLastPara="1" vertOverflow="ellipsis" vert="horz" wrap="square" anchor="ctr" anchorCtr="1"/>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30"/>
        <c:spPr>
          <a:solidFill>
            <a:srgbClr val="FFC000"/>
          </a:solidFill>
          <a:ln>
            <a:noFill/>
          </a:ln>
          <a:effectLst/>
        </c:spPr>
        <c:marker>
          <c:symbol val="none"/>
        </c:marker>
        <c:dLbl>
          <c:idx val="0"/>
          <c:spPr>
            <a:noFill/>
            <a:ln>
              <a:noFill/>
            </a:ln>
            <a:effectLst/>
          </c:spPr>
          <c:txPr>
            <a:bodyPr rot="0" spcFirstLastPara="1" vertOverflow="ellipsis" vert="horz" wrap="square" anchor="ctr" anchorCtr="1"/>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31"/>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32"/>
        <c:spPr>
          <a:solidFill>
            <a:schemeClr val="accent1">
              <a:lumMod val="40000"/>
              <a:lumOff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33"/>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34"/>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35"/>
        <c:spPr>
          <a:solidFill>
            <a:schemeClr val="accent1">
              <a:lumMod val="40000"/>
              <a:lumOff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36"/>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37"/>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38"/>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39"/>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40"/>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41"/>
        <c:spPr>
          <a:solidFill>
            <a:schemeClr val="accent1">
              <a:lumMod val="40000"/>
              <a:lumOff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42"/>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43"/>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44"/>
        <c:spPr>
          <a:solidFill>
            <a:schemeClr val="accent1">
              <a:lumMod val="40000"/>
              <a:lumOff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45"/>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46"/>
        <c:spPr>
          <a:solidFill>
            <a:srgbClr val="5B9BD5">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47"/>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48"/>
        <c:spPr>
          <a:solidFill>
            <a:srgbClr val="FFC000">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49"/>
        <c:spPr>
          <a:solidFill>
            <a:srgbClr val="FFC000"/>
          </a:solidFill>
          <a:ln>
            <a:noFill/>
          </a:ln>
          <a:effectLst/>
        </c:spPr>
      </c:pivotFmt>
      <c:pivotFmt>
        <c:idx val="50"/>
        <c:spPr>
          <a:solidFill>
            <a:srgbClr val="FFC000">
              <a:lumMod val="75000"/>
            </a:srgbClr>
          </a:solidFill>
          <a:ln>
            <a:noFill/>
          </a:ln>
          <a:effectLst/>
        </c:spPr>
      </c:pivotFmt>
      <c:pivotFmt>
        <c:idx val="51"/>
        <c:spPr>
          <a:solidFill>
            <a:srgbClr val="70AD47">
              <a:lumMod val="50000"/>
            </a:srgbClr>
          </a:solidFill>
          <a:ln>
            <a:noFill/>
          </a:ln>
          <a:effectLst/>
        </c:spPr>
      </c:pivotFmt>
      <c:pivotFmt>
        <c:idx val="52"/>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53"/>
        <c:spPr>
          <a:solidFill>
            <a:srgbClr val="70AD47">
              <a:lumMod val="50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54"/>
        <c:spPr>
          <a:solidFill>
            <a:schemeClr val="accent1">
              <a:lumMod val="40000"/>
              <a:lumOff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55"/>
        <c:spPr>
          <a:solidFill>
            <a:srgbClr val="5B9BD5">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56"/>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57"/>
        <c:spPr>
          <a:solidFill>
            <a:srgbClr val="FFC000">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58"/>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59"/>
        <c:spPr>
          <a:solidFill>
            <a:srgbClr val="FFC000"/>
          </a:solidFill>
          <a:ln>
            <a:noFill/>
          </a:ln>
          <a:effectLst/>
        </c:spPr>
      </c:pivotFmt>
      <c:pivotFmt>
        <c:idx val="60"/>
      </c:pivotFmt>
      <c:pivotFmt>
        <c:idx val="61"/>
        <c:spPr>
          <a:solidFill>
            <a:srgbClr val="70AD47"/>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62"/>
        <c:spPr>
          <a:solidFill>
            <a:srgbClr val="70AD47">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63"/>
        <c:spPr>
          <a:solidFill>
            <a:srgbClr val="4472C4">
              <a:lumMod val="40000"/>
              <a:lumOff val="60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64"/>
        <c:spPr>
          <a:solidFill>
            <a:srgbClr val="5B9BD5">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65"/>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66"/>
        <c:spPr>
          <a:solidFill>
            <a:srgbClr val="FFC000">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67"/>
        <c:spPr>
          <a:solidFill>
            <a:srgbClr val="70AD47"/>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68"/>
        <c:spPr>
          <a:solidFill>
            <a:srgbClr val="70AD47">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69"/>
        <c:spPr>
          <a:solidFill>
            <a:srgbClr val="4472C4">
              <a:lumMod val="40000"/>
              <a:lumOff val="60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70"/>
        <c:spPr>
          <a:solidFill>
            <a:srgbClr val="5B9BD5">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71"/>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72"/>
        <c:spPr>
          <a:solidFill>
            <a:srgbClr val="FFC000">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73"/>
        <c:spPr>
          <a:solidFill>
            <a:srgbClr val="70AD47"/>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74"/>
        <c:spPr>
          <a:solidFill>
            <a:srgbClr val="4472C4">
              <a:lumMod val="40000"/>
              <a:lumOff val="60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75"/>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76"/>
        <c:spPr>
          <a:solidFill>
            <a:srgbClr val="70AD47">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77"/>
        <c:spPr>
          <a:solidFill>
            <a:srgbClr val="5B9BD5"/>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78"/>
        <c:spPr>
          <a:solidFill>
            <a:srgbClr val="FFC000">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79"/>
        <c:spPr>
          <a:solidFill>
            <a:srgbClr val="70AD47"/>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80"/>
        <c:spPr>
          <a:solidFill>
            <a:srgbClr val="4472C4">
              <a:lumMod val="40000"/>
              <a:lumOff val="60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81"/>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82"/>
        <c:spPr>
          <a:solidFill>
            <a:srgbClr val="70AD47">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83"/>
        <c:spPr>
          <a:solidFill>
            <a:srgbClr val="5B9BD5"/>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84"/>
        <c:spPr>
          <a:solidFill>
            <a:srgbClr val="FFC000">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0.44628537930092804"/>
          <c:y val="8.6735975807670257E-2"/>
          <c:w val="0.52960720016805685"/>
          <c:h val="0.79120168037304672"/>
        </c:manualLayout>
      </c:layout>
      <c:barChart>
        <c:barDir val="bar"/>
        <c:grouping val="clustered"/>
        <c:varyColors val="0"/>
        <c:ser>
          <c:idx val="0"/>
          <c:order val="0"/>
          <c:tx>
            <c:strRef>
              <c:f>'Ausgabe Tabellen'!$X$13:$X$15</c:f>
              <c:strCache>
                <c:ptCount val="1"/>
                <c:pt idx="0">
                  <c:v>A1-A3 -   RMI min</c:v>
                </c:pt>
              </c:strCache>
            </c:strRef>
          </c:tx>
          <c:spPr>
            <a:solidFill>
              <a:srgbClr val="70AD47"/>
            </a:solidFill>
            <a:ln>
              <a:noFill/>
            </a:ln>
            <a:effectLst/>
          </c:spPr>
          <c:invertIfNegative val="0"/>
          <c:cat>
            <c:multiLvlStrRef>
              <c:f>'Ausgabe Tabellen'!$W$16:$W$43</c:f>
              <c:multiLvlStrCache>
                <c:ptCount val="22"/>
                <c:lvl>
                  <c:pt idx="0">
                    <c:v>1. Stahlbeton-Bodenplatte | Referenz XPS</c:v>
                  </c:pt>
                  <c:pt idx="1">
                    <c:v>2. Stahlbeton (R-Beton) - Bodenplatte | Referenz XPS</c:v>
                  </c:pt>
                  <c:pt idx="2">
                    <c:v>0. Pfosten/Riegelsystem aus Aluminium | Referenz</c:v>
                  </c:pt>
                  <c:pt idx="3">
                    <c:v>1. Mauerwerk, einschalig - Kalksandstein (KS) mit Dämmung | Referenz EPS</c:v>
                  </c:pt>
                  <c:pt idx="4">
                    <c:v>2. Mauerwerk, einschalig - Kalksandstein (KS) mit Dämmung | Hanf</c:v>
                  </c:pt>
                  <c:pt idx="5">
                    <c:v>3. Mauerwerk, einschalig - Kalksandstein (KS) mit Dämmung | Zellulose</c:v>
                  </c:pt>
                  <c:pt idx="6">
                    <c:v>4. Mauerwerk, einschalig - Hochlochziegel (HLZ) | Referenz MiWo</c:v>
                  </c:pt>
                  <c:pt idx="7">
                    <c:v>5. Mauerwerk, einschalig - Mauerziegel (gefüllt) | Referenz</c:v>
                  </c:pt>
                  <c:pt idx="8">
                    <c:v>6. Mauerwerk, zweischalig - Vollziegel (VZ) | Referenz MiWo</c:v>
                  </c:pt>
                  <c:pt idx="9">
                    <c:v>7. Holzrahmenbau - Holzständerbauweise (HSB) | Referenz MiWo</c:v>
                  </c:pt>
                  <c:pt idx="10">
                    <c:v>8. Holzrahmenbau - Holzständerbauweise (HSB) | Stroh</c:v>
                  </c:pt>
                  <c:pt idx="11">
                    <c:v>9. Stampflehmwand | -</c:v>
                  </c:pt>
                  <c:pt idx="12">
                    <c:v>1. Außenwand Beton | konv. Beton</c:v>
                  </c:pt>
                  <c:pt idx="13">
                    <c:v>2. Außenwand Beton | R-Beton</c:v>
                  </c:pt>
                  <c:pt idx="14">
                    <c:v>1. Stahlbetondecke | Referenz EPS</c:v>
                  </c:pt>
                  <c:pt idx="15">
                    <c:v>2. Metalldecke | Referenz XPS</c:v>
                  </c:pt>
                  <c:pt idx="16">
                    <c:v>3. Holzdecke | Referenz MiWo</c:v>
                  </c:pt>
                  <c:pt idx="17">
                    <c:v>1. Schrägdach - Holzkonstruktion | Referenz MiWo</c:v>
                  </c:pt>
                  <c:pt idx="18">
                    <c:v>2. Flachdach - Stahlbeton | Referenz PIR</c:v>
                  </c:pt>
                  <c:pt idx="19">
                    <c:v>1. Heizung | Neu</c:v>
                  </c:pt>
                  <c:pt idx="20">
                    <c:v>2. Heizung | ReUse</c:v>
                  </c:pt>
                  <c:pt idx="21">
                    <c:v>1. Innenwand | Trockenbau</c:v>
                  </c:pt>
                </c:lvl>
                <c:lvl>
                  <c:pt idx="0">
                    <c:v>320 Gründung</c:v>
                  </c:pt>
                  <c:pt idx="2">
                    <c:v>330 Außenwände</c:v>
                  </c:pt>
                  <c:pt idx="14">
                    <c:v>350 Geschossdecken</c:v>
                  </c:pt>
                  <c:pt idx="17">
                    <c:v>360 Dach</c:v>
                  </c:pt>
                  <c:pt idx="19">
                    <c:v>Sonstige</c:v>
                  </c:pt>
                  <c:pt idx="21">
                    <c:v>340 Innenwände</c:v>
                  </c:pt>
                </c:lvl>
              </c:multiLvlStrCache>
            </c:multiLvlStrRef>
          </c:cat>
          <c:val>
            <c:numRef>
              <c:f>'Ausgabe Tabellen'!$X$16:$X$43</c:f>
              <c:numCache>
                <c:formatCode>General</c:formatCode>
                <c:ptCount val="22"/>
                <c:pt idx="0">
                  <c:v>1605.0741911800505</c:v>
                </c:pt>
                <c:pt idx="1">
                  <c:v>1389.7438526352666</c:v>
                </c:pt>
                <c:pt idx="2">
                  <c:v>219.5491013859569</c:v>
                </c:pt>
                <c:pt idx="3">
                  <c:v>450.60781100445769</c:v>
                </c:pt>
                <c:pt idx="4">
                  <c:v>333.46904651402531</c:v>
                </c:pt>
                <c:pt idx="5">
                  <c:v>464.9095368145139</c:v>
                </c:pt>
                <c:pt idx="6">
                  <c:v>234.60584664790957</c:v>
                </c:pt>
                <c:pt idx="7">
                  <c:v>393.51345359932287</c:v>
                </c:pt>
                <c:pt idx="8">
                  <c:v>567.39639315732347</c:v>
                </c:pt>
                <c:pt idx="9">
                  <c:v>43.975549080208623</c:v>
                </c:pt>
                <c:pt idx="10">
                  <c:v>80.819799400245785</c:v>
                </c:pt>
                <c:pt idx="11">
                  <c:v>665.57733845489201</c:v>
                </c:pt>
                <c:pt idx="12">
                  <c:v>868.91308849651136</c:v>
                </c:pt>
                <c:pt idx="13">
                  <c:v>707.41533458792321</c:v>
                </c:pt>
                <c:pt idx="14">
                  <c:v>752.71280074378058</c:v>
                </c:pt>
                <c:pt idx="15">
                  <c:v>84.016247842043583</c:v>
                </c:pt>
                <c:pt idx="16">
                  <c:v>298.11603397120683</c:v>
                </c:pt>
                <c:pt idx="17">
                  <c:v>81.333968804673958</c:v>
                </c:pt>
                <c:pt idx="18">
                  <c:v>659.02027650021591</c:v>
                </c:pt>
                <c:pt idx="19">
                  <c:v>337.16441522880586</c:v>
                </c:pt>
                <c:pt idx="20">
                  <c:v>0</c:v>
                </c:pt>
                <c:pt idx="21">
                  <c:v>109.70867268148652</c:v>
                </c:pt>
              </c:numCache>
            </c:numRef>
          </c:val>
          <c:extLst>
            <c:ext xmlns:c16="http://schemas.microsoft.com/office/drawing/2014/chart" uri="{C3380CC4-5D6E-409C-BE32-E72D297353CC}">
              <c16:uniqueId val="{00000004-609C-4906-9FDD-52EE7CC13178}"/>
            </c:ext>
          </c:extLst>
        </c:ser>
        <c:ser>
          <c:idx val="1"/>
          <c:order val="1"/>
          <c:tx>
            <c:strRef>
              <c:f>'Ausgabe Tabellen'!$Y$13:$Y$15</c:f>
              <c:strCache>
                <c:ptCount val="1"/>
                <c:pt idx="0">
                  <c:v>A1-A3 -   RMI Referenz</c:v>
                </c:pt>
              </c:strCache>
            </c:strRef>
          </c:tx>
          <c:spPr>
            <a:solidFill>
              <a:srgbClr val="4472C4">
                <a:lumMod val="40000"/>
                <a:lumOff val="60000"/>
              </a:srgbClr>
            </a:solidFill>
            <a:ln>
              <a:noFill/>
            </a:ln>
            <a:effectLst/>
          </c:spPr>
          <c:invertIfNegative val="0"/>
          <c:cat>
            <c:multiLvlStrRef>
              <c:f>'Ausgabe Tabellen'!$W$16:$W$43</c:f>
              <c:multiLvlStrCache>
                <c:ptCount val="22"/>
                <c:lvl>
                  <c:pt idx="0">
                    <c:v>1. Stahlbeton-Bodenplatte | Referenz XPS</c:v>
                  </c:pt>
                  <c:pt idx="1">
                    <c:v>2. Stahlbeton (R-Beton) - Bodenplatte | Referenz XPS</c:v>
                  </c:pt>
                  <c:pt idx="2">
                    <c:v>0. Pfosten/Riegelsystem aus Aluminium | Referenz</c:v>
                  </c:pt>
                  <c:pt idx="3">
                    <c:v>1. Mauerwerk, einschalig - Kalksandstein (KS) mit Dämmung | Referenz EPS</c:v>
                  </c:pt>
                  <c:pt idx="4">
                    <c:v>2. Mauerwerk, einschalig - Kalksandstein (KS) mit Dämmung | Hanf</c:v>
                  </c:pt>
                  <c:pt idx="5">
                    <c:v>3. Mauerwerk, einschalig - Kalksandstein (KS) mit Dämmung | Zellulose</c:v>
                  </c:pt>
                  <c:pt idx="6">
                    <c:v>4. Mauerwerk, einschalig - Hochlochziegel (HLZ) | Referenz MiWo</c:v>
                  </c:pt>
                  <c:pt idx="7">
                    <c:v>5. Mauerwerk, einschalig - Mauerziegel (gefüllt) | Referenz</c:v>
                  </c:pt>
                  <c:pt idx="8">
                    <c:v>6. Mauerwerk, zweischalig - Vollziegel (VZ) | Referenz MiWo</c:v>
                  </c:pt>
                  <c:pt idx="9">
                    <c:v>7. Holzrahmenbau - Holzständerbauweise (HSB) | Referenz MiWo</c:v>
                  </c:pt>
                  <c:pt idx="10">
                    <c:v>8. Holzrahmenbau - Holzständerbauweise (HSB) | Stroh</c:v>
                  </c:pt>
                  <c:pt idx="11">
                    <c:v>9. Stampflehmwand | -</c:v>
                  </c:pt>
                  <c:pt idx="12">
                    <c:v>1. Außenwand Beton | konv. Beton</c:v>
                  </c:pt>
                  <c:pt idx="13">
                    <c:v>2. Außenwand Beton | R-Beton</c:v>
                  </c:pt>
                  <c:pt idx="14">
                    <c:v>1. Stahlbetondecke | Referenz EPS</c:v>
                  </c:pt>
                  <c:pt idx="15">
                    <c:v>2. Metalldecke | Referenz XPS</c:v>
                  </c:pt>
                  <c:pt idx="16">
                    <c:v>3. Holzdecke | Referenz MiWo</c:v>
                  </c:pt>
                  <c:pt idx="17">
                    <c:v>1. Schrägdach - Holzkonstruktion | Referenz MiWo</c:v>
                  </c:pt>
                  <c:pt idx="18">
                    <c:v>2. Flachdach - Stahlbeton | Referenz PIR</c:v>
                  </c:pt>
                  <c:pt idx="19">
                    <c:v>1. Heizung | Neu</c:v>
                  </c:pt>
                  <c:pt idx="20">
                    <c:v>2. Heizung | ReUse</c:v>
                  </c:pt>
                  <c:pt idx="21">
                    <c:v>1. Innenwand | Trockenbau</c:v>
                  </c:pt>
                </c:lvl>
                <c:lvl>
                  <c:pt idx="0">
                    <c:v>320 Gründung</c:v>
                  </c:pt>
                  <c:pt idx="2">
                    <c:v>330 Außenwände</c:v>
                  </c:pt>
                  <c:pt idx="14">
                    <c:v>350 Geschossdecken</c:v>
                  </c:pt>
                  <c:pt idx="17">
                    <c:v>360 Dach</c:v>
                  </c:pt>
                  <c:pt idx="19">
                    <c:v>Sonstige</c:v>
                  </c:pt>
                  <c:pt idx="21">
                    <c:v>340 Innenwände</c:v>
                  </c:pt>
                </c:lvl>
              </c:multiLvlStrCache>
            </c:multiLvlStrRef>
          </c:cat>
          <c:val>
            <c:numRef>
              <c:f>'Ausgabe Tabellen'!$Y$16:$Y$43</c:f>
              <c:numCache>
                <c:formatCode>General</c:formatCode>
                <c:ptCount val="22"/>
                <c:pt idx="0">
                  <c:v>1608.4786390335576</c:v>
                </c:pt>
                <c:pt idx="1">
                  <c:v>1393.1483004887737</c:v>
                </c:pt>
                <c:pt idx="2">
                  <c:v>219.5491013859569</c:v>
                </c:pt>
                <c:pt idx="3">
                  <c:v>452.70815348988327</c:v>
                </c:pt>
                <c:pt idx="4">
                  <c:v>337.13992467724688</c:v>
                </c:pt>
                <c:pt idx="5">
                  <c:v>469.84156827999095</c:v>
                </c:pt>
                <c:pt idx="6">
                  <c:v>238.17090797648038</c:v>
                </c:pt>
                <c:pt idx="7">
                  <c:v>393.51345359932287</c:v>
                </c:pt>
                <c:pt idx="8">
                  <c:v>570.96145448589436</c:v>
                </c:pt>
                <c:pt idx="9">
                  <c:v>47.041501822779509</c:v>
                </c:pt>
                <c:pt idx="10">
                  <c:v>84.630461113621919</c:v>
                </c:pt>
                <c:pt idx="11">
                  <c:v>674.98239904178615</c:v>
                </c:pt>
                <c:pt idx="12">
                  <c:v>872.47814982508214</c:v>
                </c:pt>
                <c:pt idx="13">
                  <c:v>710.98039591649399</c:v>
                </c:pt>
                <c:pt idx="14">
                  <c:v>754.81314322920616</c:v>
                </c:pt>
                <c:pt idx="15">
                  <c:v>87.420695695550606</c:v>
                </c:pt>
                <c:pt idx="16">
                  <c:v>301.68109529977761</c:v>
                </c:pt>
                <c:pt idx="17">
                  <c:v>84.780194755625729</c:v>
                </c:pt>
                <c:pt idx="18">
                  <c:v>666.7590549000563</c:v>
                </c:pt>
                <c:pt idx="19">
                  <c:v>337.16441522880586</c:v>
                </c:pt>
                <c:pt idx="20">
                  <c:v>0</c:v>
                </c:pt>
                <c:pt idx="21">
                  <c:v>113.27373401005732</c:v>
                </c:pt>
              </c:numCache>
            </c:numRef>
          </c:val>
          <c:extLst>
            <c:ext xmlns:c16="http://schemas.microsoft.com/office/drawing/2014/chart" uri="{C3380CC4-5D6E-409C-BE32-E72D297353CC}">
              <c16:uniqueId val="{00000005-609C-4906-9FDD-52EE7CC13178}"/>
            </c:ext>
          </c:extLst>
        </c:ser>
        <c:ser>
          <c:idx val="2"/>
          <c:order val="2"/>
          <c:tx>
            <c:strRef>
              <c:f>'Ausgabe Tabellen'!$Z$13:$Z$15</c:f>
              <c:strCache>
                <c:ptCount val="1"/>
                <c:pt idx="0">
                  <c:v>A1-A3 -   RMI max</c:v>
                </c:pt>
              </c:strCache>
            </c:strRef>
          </c:tx>
          <c:spPr>
            <a:solidFill>
              <a:srgbClr val="FFC000"/>
            </a:solidFill>
            <a:ln>
              <a:noFill/>
            </a:ln>
            <a:effectLst/>
          </c:spPr>
          <c:invertIfNegative val="0"/>
          <c:cat>
            <c:multiLvlStrRef>
              <c:f>'Ausgabe Tabellen'!$W$16:$W$43</c:f>
              <c:multiLvlStrCache>
                <c:ptCount val="22"/>
                <c:lvl>
                  <c:pt idx="0">
                    <c:v>1. Stahlbeton-Bodenplatte | Referenz XPS</c:v>
                  </c:pt>
                  <c:pt idx="1">
                    <c:v>2. Stahlbeton (R-Beton) - Bodenplatte | Referenz XPS</c:v>
                  </c:pt>
                  <c:pt idx="2">
                    <c:v>0. Pfosten/Riegelsystem aus Aluminium | Referenz</c:v>
                  </c:pt>
                  <c:pt idx="3">
                    <c:v>1. Mauerwerk, einschalig - Kalksandstein (KS) mit Dämmung | Referenz EPS</c:v>
                  </c:pt>
                  <c:pt idx="4">
                    <c:v>2. Mauerwerk, einschalig - Kalksandstein (KS) mit Dämmung | Hanf</c:v>
                  </c:pt>
                  <c:pt idx="5">
                    <c:v>3. Mauerwerk, einschalig - Kalksandstein (KS) mit Dämmung | Zellulose</c:v>
                  </c:pt>
                  <c:pt idx="6">
                    <c:v>4. Mauerwerk, einschalig - Hochlochziegel (HLZ) | Referenz MiWo</c:v>
                  </c:pt>
                  <c:pt idx="7">
                    <c:v>5. Mauerwerk, einschalig - Mauerziegel (gefüllt) | Referenz</c:v>
                  </c:pt>
                  <c:pt idx="8">
                    <c:v>6. Mauerwerk, zweischalig - Vollziegel (VZ) | Referenz MiWo</c:v>
                  </c:pt>
                  <c:pt idx="9">
                    <c:v>7. Holzrahmenbau - Holzständerbauweise (HSB) | Referenz MiWo</c:v>
                  </c:pt>
                  <c:pt idx="10">
                    <c:v>8. Holzrahmenbau - Holzständerbauweise (HSB) | Stroh</c:v>
                  </c:pt>
                  <c:pt idx="11">
                    <c:v>9. Stampflehmwand | -</c:v>
                  </c:pt>
                  <c:pt idx="12">
                    <c:v>1. Außenwand Beton | konv. Beton</c:v>
                  </c:pt>
                  <c:pt idx="13">
                    <c:v>2. Außenwand Beton | R-Beton</c:v>
                  </c:pt>
                  <c:pt idx="14">
                    <c:v>1. Stahlbetondecke | Referenz EPS</c:v>
                  </c:pt>
                  <c:pt idx="15">
                    <c:v>2. Metalldecke | Referenz XPS</c:v>
                  </c:pt>
                  <c:pt idx="16">
                    <c:v>3. Holzdecke | Referenz MiWo</c:v>
                  </c:pt>
                  <c:pt idx="17">
                    <c:v>1. Schrägdach - Holzkonstruktion | Referenz MiWo</c:v>
                  </c:pt>
                  <c:pt idx="18">
                    <c:v>2. Flachdach - Stahlbeton | Referenz PIR</c:v>
                  </c:pt>
                  <c:pt idx="19">
                    <c:v>1. Heizung | Neu</c:v>
                  </c:pt>
                  <c:pt idx="20">
                    <c:v>2. Heizung | ReUse</c:v>
                  </c:pt>
                  <c:pt idx="21">
                    <c:v>1. Innenwand | Trockenbau</c:v>
                  </c:pt>
                </c:lvl>
                <c:lvl>
                  <c:pt idx="0">
                    <c:v>320 Gründung</c:v>
                  </c:pt>
                  <c:pt idx="2">
                    <c:v>330 Außenwände</c:v>
                  </c:pt>
                  <c:pt idx="14">
                    <c:v>350 Geschossdecken</c:v>
                  </c:pt>
                  <c:pt idx="17">
                    <c:v>360 Dach</c:v>
                  </c:pt>
                  <c:pt idx="19">
                    <c:v>Sonstige</c:v>
                  </c:pt>
                  <c:pt idx="21">
                    <c:v>340 Innenwände</c:v>
                  </c:pt>
                </c:lvl>
              </c:multiLvlStrCache>
            </c:multiLvlStrRef>
          </c:cat>
          <c:val>
            <c:numRef>
              <c:f>'Ausgabe Tabellen'!$Z$16:$Z$43</c:f>
              <c:numCache>
                <c:formatCode>General</c:formatCode>
                <c:ptCount val="22"/>
                <c:pt idx="0">
                  <c:v>1615.2875347405716</c:v>
                </c:pt>
                <c:pt idx="1">
                  <c:v>1399.9571961957877</c:v>
                </c:pt>
                <c:pt idx="2">
                  <c:v>219.5491013859569</c:v>
                </c:pt>
                <c:pt idx="3">
                  <c:v>456.90883846073456</c:v>
                </c:pt>
                <c:pt idx="4">
                  <c:v>344.48168100368997</c:v>
                </c:pt>
                <c:pt idx="5">
                  <c:v>479.705631210945</c:v>
                </c:pt>
                <c:pt idx="6">
                  <c:v>245.30103063362199</c:v>
                </c:pt>
                <c:pt idx="7">
                  <c:v>393.51345359932287</c:v>
                </c:pt>
                <c:pt idx="8">
                  <c:v>578.09157714303592</c:v>
                </c:pt>
                <c:pt idx="9">
                  <c:v>53.173407307921295</c:v>
                </c:pt>
                <c:pt idx="10">
                  <c:v>92.251784540374189</c:v>
                </c:pt>
                <c:pt idx="11">
                  <c:v>693.79252021557454</c:v>
                </c:pt>
                <c:pt idx="12">
                  <c:v>879.60827248222381</c:v>
                </c:pt>
                <c:pt idx="13">
                  <c:v>718.11051857363566</c:v>
                </c:pt>
                <c:pt idx="14">
                  <c:v>759.01382820005745</c:v>
                </c:pt>
                <c:pt idx="15">
                  <c:v>94.229591402564637</c:v>
                </c:pt>
                <c:pt idx="16">
                  <c:v>308.81121795691922</c:v>
                </c:pt>
                <c:pt idx="17">
                  <c:v>91.672646657529285</c:v>
                </c:pt>
                <c:pt idx="18">
                  <c:v>682.23661169973718</c:v>
                </c:pt>
                <c:pt idx="19">
                  <c:v>337.16441522880586</c:v>
                </c:pt>
                <c:pt idx="20">
                  <c:v>0</c:v>
                </c:pt>
                <c:pt idx="21">
                  <c:v>120.40385666719892</c:v>
                </c:pt>
              </c:numCache>
            </c:numRef>
          </c:val>
          <c:extLst>
            <c:ext xmlns:c16="http://schemas.microsoft.com/office/drawing/2014/chart" uri="{C3380CC4-5D6E-409C-BE32-E72D297353CC}">
              <c16:uniqueId val="{00000006-609C-4906-9FDD-52EE7CC13178}"/>
            </c:ext>
          </c:extLst>
        </c:ser>
        <c:ser>
          <c:idx val="3"/>
          <c:order val="3"/>
          <c:tx>
            <c:strRef>
              <c:f>'Ausgabe Tabellen'!$AA$13:$AA$15</c:f>
              <c:strCache>
                <c:ptCount val="1"/>
                <c:pt idx="0">
                  <c:v>A4 -   RMI min</c:v>
                </c:pt>
              </c:strCache>
            </c:strRef>
          </c:tx>
          <c:spPr>
            <a:solidFill>
              <a:srgbClr val="70AD47">
                <a:lumMod val="75000"/>
              </a:srgbClr>
            </a:solidFill>
            <a:ln>
              <a:noFill/>
            </a:ln>
            <a:effectLst/>
          </c:spPr>
          <c:invertIfNegative val="0"/>
          <c:cat>
            <c:multiLvlStrRef>
              <c:f>'Ausgabe Tabellen'!$W$16:$W$43</c:f>
              <c:multiLvlStrCache>
                <c:ptCount val="22"/>
                <c:lvl>
                  <c:pt idx="0">
                    <c:v>1. Stahlbeton-Bodenplatte | Referenz XPS</c:v>
                  </c:pt>
                  <c:pt idx="1">
                    <c:v>2. Stahlbeton (R-Beton) - Bodenplatte | Referenz XPS</c:v>
                  </c:pt>
                  <c:pt idx="2">
                    <c:v>0. Pfosten/Riegelsystem aus Aluminium | Referenz</c:v>
                  </c:pt>
                  <c:pt idx="3">
                    <c:v>1. Mauerwerk, einschalig - Kalksandstein (KS) mit Dämmung | Referenz EPS</c:v>
                  </c:pt>
                  <c:pt idx="4">
                    <c:v>2. Mauerwerk, einschalig - Kalksandstein (KS) mit Dämmung | Hanf</c:v>
                  </c:pt>
                  <c:pt idx="5">
                    <c:v>3. Mauerwerk, einschalig - Kalksandstein (KS) mit Dämmung | Zellulose</c:v>
                  </c:pt>
                  <c:pt idx="6">
                    <c:v>4. Mauerwerk, einschalig - Hochlochziegel (HLZ) | Referenz MiWo</c:v>
                  </c:pt>
                  <c:pt idx="7">
                    <c:v>5. Mauerwerk, einschalig - Mauerziegel (gefüllt) | Referenz</c:v>
                  </c:pt>
                  <c:pt idx="8">
                    <c:v>6. Mauerwerk, zweischalig - Vollziegel (VZ) | Referenz MiWo</c:v>
                  </c:pt>
                  <c:pt idx="9">
                    <c:v>7. Holzrahmenbau - Holzständerbauweise (HSB) | Referenz MiWo</c:v>
                  </c:pt>
                  <c:pt idx="10">
                    <c:v>8. Holzrahmenbau - Holzständerbauweise (HSB) | Stroh</c:v>
                  </c:pt>
                  <c:pt idx="11">
                    <c:v>9. Stampflehmwand | -</c:v>
                  </c:pt>
                  <c:pt idx="12">
                    <c:v>1. Außenwand Beton | konv. Beton</c:v>
                  </c:pt>
                  <c:pt idx="13">
                    <c:v>2. Außenwand Beton | R-Beton</c:v>
                  </c:pt>
                  <c:pt idx="14">
                    <c:v>1. Stahlbetondecke | Referenz EPS</c:v>
                  </c:pt>
                  <c:pt idx="15">
                    <c:v>2. Metalldecke | Referenz XPS</c:v>
                  </c:pt>
                  <c:pt idx="16">
                    <c:v>3. Holzdecke | Referenz MiWo</c:v>
                  </c:pt>
                  <c:pt idx="17">
                    <c:v>1. Schrägdach - Holzkonstruktion | Referenz MiWo</c:v>
                  </c:pt>
                  <c:pt idx="18">
                    <c:v>2. Flachdach - Stahlbeton | Referenz PIR</c:v>
                  </c:pt>
                  <c:pt idx="19">
                    <c:v>1. Heizung | Neu</c:v>
                  </c:pt>
                  <c:pt idx="20">
                    <c:v>2. Heizung | ReUse</c:v>
                  </c:pt>
                  <c:pt idx="21">
                    <c:v>1. Innenwand | Trockenbau</c:v>
                  </c:pt>
                </c:lvl>
                <c:lvl>
                  <c:pt idx="0">
                    <c:v>320 Gründung</c:v>
                  </c:pt>
                  <c:pt idx="2">
                    <c:v>330 Außenwände</c:v>
                  </c:pt>
                  <c:pt idx="14">
                    <c:v>350 Geschossdecken</c:v>
                  </c:pt>
                  <c:pt idx="17">
                    <c:v>360 Dach</c:v>
                  </c:pt>
                  <c:pt idx="19">
                    <c:v>Sonstige</c:v>
                  </c:pt>
                  <c:pt idx="21">
                    <c:v>340 Innenwände</c:v>
                  </c:pt>
                </c:lvl>
              </c:multiLvlStrCache>
            </c:multiLvlStrRef>
          </c:cat>
          <c:val>
            <c:numRef>
              <c:f>'Ausgabe Tabellen'!$AA$16:$AA$43</c:f>
              <c:numCache>
                <c:formatCode>General</c:formatCode>
                <c:ptCount val="22"/>
                <c:pt idx="0">
                  <c:v>12.63609233552989</c:v>
                </c:pt>
                <c:pt idx="1">
                  <c:v>21.151120449726065</c:v>
                </c:pt>
                <c:pt idx="2">
                  <c:v>0.23992138641433894</c:v>
                </c:pt>
                <c:pt idx="3">
                  <c:v>3.2127654744392844</c:v>
                </c:pt>
                <c:pt idx="4">
                  <c:v>2.3632692782514959</c:v>
                </c:pt>
                <c:pt idx="5">
                  <c:v>3.3340348297541689</c:v>
                </c:pt>
                <c:pt idx="6">
                  <c:v>1.3736589923977334</c:v>
                </c:pt>
                <c:pt idx="7">
                  <c:v>2.063934632146915</c:v>
                </c:pt>
                <c:pt idx="8">
                  <c:v>3.2581324275067227</c:v>
                </c:pt>
                <c:pt idx="9">
                  <c:v>0.24184075750565365</c:v>
                </c:pt>
                <c:pt idx="10">
                  <c:v>0.45689756387341562</c:v>
                </c:pt>
                <c:pt idx="11">
                  <c:v>5.3138661104452938</c:v>
                </c:pt>
                <c:pt idx="12">
                  <c:v>6.4628714410186916</c:v>
                </c:pt>
                <c:pt idx="13">
                  <c:v>12.849142526665823</c:v>
                </c:pt>
                <c:pt idx="14">
                  <c:v>5.3990163915872547</c:v>
                </c:pt>
                <c:pt idx="15">
                  <c:v>0.32306505232447169</c:v>
                </c:pt>
                <c:pt idx="16">
                  <c:v>1.7619826618269054</c:v>
                </c:pt>
                <c:pt idx="17">
                  <c:v>0.44477062834192727</c:v>
                </c:pt>
                <c:pt idx="18">
                  <c:v>4.9292066949177222</c:v>
                </c:pt>
                <c:pt idx="19">
                  <c:v>0.32716552692864403</c:v>
                </c:pt>
                <c:pt idx="20">
                  <c:v>1.3086621077145761</c:v>
                </c:pt>
                <c:pt idx="21">
                  <c:v>0.92897560819632041</c:v>
                </c:pt>
              </c:numCache>
            </c:numRef>
          </c:val>
          <c:extLst>
            <c:ext xmlns:c16="http://schemas.microsoft.com/office/drawing/2014/chart" uri="{C3380CC4-5D6E-409C-BE32-E72D297353CC}">
              <c16:uniqueId val="{00000000-F268-4AC8-A9D9-AEA7B6A3847B}"/>
            </c:ext>
          </c:extLst>
        </c:ser>
        <c:ser>
          <c:idx val="4"/>
          <c:order val="4"/>
          <c:tx>
            <c:strRef>
              <c:f>'Ausgabe Tabellen'!$AB$13:$AB$15</c:f>
              <c:strCache>
                <c:ptCount val="1"/>
                <c:pt idx="0">
                  <c:v>A4 -   RMI Referenz</c:v>
                </c:pt>
              </c:strCache>
            </c:strRef>
          </c:tx>
          <c:spPr>
            <a:solidFill>
              <a:srgbClr val="5B9BD5"/>
            </a:solidFill>
            <a:ln>
              <a:noFill/>
            </a:ln>
            <a:effectLst/>
          </c:spPr>
          <c:invertIfNegative val="0"/>
          <c:cat>
            <c:multiLvlStrRef>
              <c:f>'Ausgabe Tabellen'!$W$16:$W$43</c:f>
              <c:multiLvlStrCache>
                <c:ptCount val="22"/>
                <c:lvl>
                  <c:pt idx="0">
                    <c:v>1. Stahlbeton-Bodenplatte | Referenz XPS</c:v>
                  </c:pt>
                  <c:pt idx="1">
                    <c:v>2. Stahlbeton (R-Beton) - Bodenplatte | Referenz XPS</c:v>
                  </c:pt>
                  <c:pt idx="2">
                    <c:v>0. Pfosten/Riegelsystem aus Aluminium | Referenz</c:v>
                  </c:pt>
                  <c:pt idx="3">
                    <c:v>1. Mauerwerk, einschalig - Kalksandstein (KS) mit Dämmung | Referenz EPS</c:v>
                  </c:pt>
                  <c:pt idx="4">
                    <c:v>2. Mauerwerk, einschalig - Kalksandstein (KS) mit Dämmung | Hanf</c:v>
                  </c:pt>
                  <c:pt idx="5">
                    <c:v>3. Mauerwerk, einschalig - Kalksandstein (KS) mit Dämmung | Zellulose</c:v>
                  </c:pt>
                  <c:pt idx="6">
                    <c:v>4. Mauerwerk, einschalig - Hochlochziegel (HLZ) | Referenz MiWo</c:v>
                  </c:pt>
                  <c:pt idx="7">
                    <c:v>5. Mauerwerk, einschalig - Mauerziegel (gefüllt) | Referenz</c:v>
                  </c:pt>
                  <c:pt idx="8">
                    <c:v>6. Mauerwerk, zweischalig - Vollziegel (VZ) | Referenz MiWo</c:v>
                  </c:pt>
                  <c:pt idx="9">
                    <c:v>7. Holzrahmenbau - Holzständerbauweise (HSB) | Referenz MiWo</c:v>
                  </c:pt>
                  <c:pt idx="10">
                    <c:v>8. Holzrahmenbau - Holzständerbauweise (HSB) | Stroh</c:v>
                  </c:pt>
                  <c:pt idx="11">
                    <c:v>9. Stampflehmwand | -</c:v>
                  </c:pt>
                  <c:pt idx="12">
                    <c:v>1. Außenwand Beton | konv. Beton</c:v>
                  </c:pt>
                  <c:pt idx="13">
                    <c:v>2. Außenwand Beton | R-Beton</c:v>
                  </c:pt>
                  <c:pt idx="14">
                    <c:v>1. Stahlbetondecke | Referenz EPS</c:v>
                  </c:pt>
                  <c:pt idx="15">
                    <c:v>2. Metalldecke | Referenz XPS</c:v>
                  </c:pt>
                  <c:pt idx="16">
                    <c:v>3. Holzdecke | Referenz MiWo</c:v>
                  </c:pt>
                  <c:pt idx="17">
                    <c:v>1. Schrägdach - Holzkonstruktion | Referenz MiWo</c:v>
                  </c:pt>
                  <c:pt idx="18">
                    <c:v>2. Flachdach - Stahlbeton | Referenz PIR</c:v>
                  </c:pt>
                  <c:pt idx="19">
                    <c:v>1. Heizung | Neu</c:v>
                  </c:pt>
                  <c:pt idx="20">
                    <c:v>2. Heizung | ReUse</c:v>
                  </c:pt>
                  <c:pt idx="21">
                    <c:v>1. Innenwand | Trockenbau</c:v>
                  </c:pt>
                </c:lvl>
                <c:lvl>
                  <c:pt idx="0">
                    <c:v>320 Gründung</c:v>
                  </c:pt>
                  <c:pt idx="2">
                    <c:v>330 Außenwände</c:v>
                  </c:pt>
                  <c:pt idx="14">
                    <c:v>350 Geschossdecken</c:v>
                  </c:pt>
                  <c:pt idx="17">
                    <c:v>360 Dach</c:v>
                  </c:pt>
                  <c:pt idx="19">
                    <c:v>Sonstige</c:v>
                  </c:pt>
                  <c:pt idx="21">
                    <c:v>340 Innenwände</c:v>
                  </c:pt>
                </c:lvl>
              </c:multiLvlStrCache>
            </c:multiLvlStrRef>
          </c:cat>
          <c:val>
            <c:numRef>
              <c:f>'Ausgabe Tabellen'!$AB$16:$AB$43</c:f>
              <c:numCache>
                <c:formatCode>General</c:formatCode>
                <c:ptCount val="22"/>
                <c:pt idx="0">
                  <c:v>12.647259585515721</c:v>
                </c:pt>
                <c:pt idx="1">
                  <c:v>21.162287699711896</c:v>
                </c:pt>
                <c:pt idx="2">
                  <c:v>0.23992138641433894</c:v>
                </c:pt>
                <c:pt idx="3">
                  <c:v>3.2214898884907153</c:v>
                </c:pt>
                <c:pt idx="4">
                  <c:v>2.3765303876096704</c:v>
                </c:pt>
                <c:pt idx="5">
                  <c:v>3.3619529547187463</c:v>
                </c:pt>
                <c:pt idx="6">
                  <c:v>1.3897991583928797</c:v>
                </c:pt>
                <c:pt idx="7">
                  <c:v>2.063934632146915</c:v>
                </c:pt>
                <c:pt idx="8">
                  <c:v>3.2742725935018693</c:v>
                </c:pt>
                <c:pt idx="9">
                  <c:v>0.25571257584742813</c:v>
                </c:pt>
                <c:pt idx="10">
                  <c:v>0.48481568883799331</c:v>
                </c:pt>
                <c:pt idx="11">
                  <c:v>5.3664743271754194</c:v>
                </c:pt>
                <c:pt idx="12">
                  <c:v>6.4789243628733235</c:v>
                </c:pt>
                <c:pt idx="13">
                  <c:v>12.865195448520454</c:v>
                </c:pt>
                <c:pt idx="14">
                  <c:v>5.4077408056386851</c:v>
                </c:pt>
                <c:pt idx="15">
                  <c:v>0.33423230231030271</c:v>
                </c:pt>
                <c:pt idx="16">
                  <c:v>1.7781228278220518</c:v>
                </c:pt>
                <c:pt idx="17">
                  <c:v>0.46030008535347355</c:v>
                </c:pt>
                <c:pt idx="18">
                  <c:v>4.9396759917794384</c:v>
                </c:pt>
                <c:pt idx="19">
                  <c:v>0.32716552692864403</c:v>
                </c:pt>
                <c:pt idx="20">
                  <c:v>1.3086621077145761</c:v>
                </c:pt>
                <c:pt idx="21">
                  <c:v>0.94502853005095255</c:v>
                </c:pt>
              </c:numCache>
            </c:numRef>
          </c:val>
          <c:extLst>
            <c:ext xmlns:c16="http://schemas.microsoft.com/office/drawing/2014/chart" uri="{C3380CC4-5D6E-409C-BE32-E72D297353CC}">
              <c16:uniqueId val="{00000001-F268-4AC8-A9D9-AEA7B6A3847B}"/>
            </c:ext>
          </c:extLst>
        </c:ser>
        <c:ser>
          <c:idx val="5"/>
          <c:order val="5"/>
          <c:tx>
            <c:strRef>
              <c:f>'Ausgabe Tabellen'!$AC$13:$AC$15</c:f>
              <c:strCache>
                <c:ptCount val="1"/>
                <c:pt idx="0">
                  <c:v>A4 -   RMI max</c:v>
                </c:pt>
              </c:strCache>
            </c:strRef>
          </c:tx>
          <c:spPr>
            <a:solidFill>
              <a:srgbClr val="FFC000">
                <a:lumMod val="75000"/>
              </a:srgbClr>
            </a:solidFill>
            <a:ln>
              <a:noFill/>
            </a:ln>
            <a:effectLst/>
          </c:spPr>
          <c:invertIfNegative val="0"/>
          <c:cat>
            <c:multiLvlStrRef>
              <c:f>'Ausgabe Tabellen'!$W$16:$W$43</c:f>
              <c:multiLvlStrCache>
                <c:ptCount val="22"/>
                <c:lvl>
                  <c:pt idx="0">
                    <c:v>1. Stahlbeton-Bodenplatte | Referenz XPS</c:v>
                  </c:pt>
                  <c:pt idx="1">
                    <c:v>2. Stahlbeton (R-Beton) - Bodenplatte | Referenz XPS</c:v>
                  </c:pt>
                  <c:pt idx="2">
                    <c:v>0. Pfosten/Riegelsystem aus Aluminium | Referenz</c:v>
                  </c:pt>
                  <c:pt idx="3">
                    <c:v>1. Mauerwerk, einschalig - Kalksandstein (KS) mit Dämmung | Referenz EPS</c:v>
                  </c:pt>
                  <c:pt idx="4">
                    <c:v>2. Mauerwerk, einschalig - Kalksandstein (KS) mit Dämmung | Hanf</c:v>
                  </c:pt>
                  <c:pt idx="5">
                    <c:v>3. Mauerwerk, einschalig - Kalksandstein (KS) mit Dämmung | Zellulose</c:v>
                  </c:pt>
                  <c:pt idx="6">
                    <c:v>4. Mauerwerk, einschalig - Hochlochziegel (HLZ) | Referenz MiWo</c:v>
                  </c:pt>
                  <c:pt idx="7">
                    <c:v>5. Mauerwerk, einschalig - Mauerziegel (gefüllt) | Referenz</c:v>
                  </c:pt>
                  <c:pt idx="8">
                    <c:v>6. Mauerwerk, zweischalig - Vollziegel (VZ) | Referenz MiWo</c:v>
                  </c:pt>
                  <c:pt idx="9">
                    <c:v>7. Holzrahmenbau - Holzständerbauweise (HSB) | Referenz MiWo</c:v>
                  </c:pt>
                  <c:pt idx="10">
                    <c:v>8. Holzrahmenbau - Holzständerbauweise (HSB) | Stroh</c:v>
                  </c:pt>
                  <c:pt idx="11">
                    <c:v>9. Stampflehmwand | -</c:v>
                  </c:pt>
                  <c:pt idx="12">
                    <c:v>1. Außenwand Beton | konv. Beton</c:v>
                  </c:pt>
                  <c:pt idx="13">
                    <c:v>2. Außenwand Beton | R-Beton</c:v>
                  </c:pt>
                  <c:pt idx="14">
                    <c:v>1. Stahlbetondecke | Referenz EPS</c:v>
                  </c:pt>
                  <c:pt idx="15">
                    <c:v>2. Metalldecke | Referenz XPS</c:v>
                  </c:pt>
                  <c:pt idx="16">
                    <c:v>3. Holzdecke | Referenz MiWo</c:v>
                  </c:pt>
                  <c:pt idx="17">
                    <c:v>1. Schrägdach - Holzkonstruktion | Referenz MiWo</c:v>
                  </c:pt>
                  <c:pt idx="18">
                    <c:v>2. Flachdach - Stahlbeton | Referenz PIR</c:v>
                  </c:pt>
                  <c:pt idx="19">
                    <c:v>1. Heizung | Neu</c:v>
                  </c:pt>
                  <c:pt idx="20">
                    <c:v>2. Heizung | ReUse</c:v>
                  </c:pt>
                  <c:pt idx="21">
                    <c:v>1. Innenwand | Trockenbau</c:v>
                  </c:pt>
                </c:lvl>
                <c:lvl>
                  <c:pt idx="0">
                    <c:v>320 Gründung</c:v>
                  </c:pt>
                  <c:pt idx="2">
                    <c:v>330 Außenwände</c:v>
                  </c:pt>
                  <c:pt idx="14">
                    <c:v>350 Geschossdecken</c:v>
                  </c:pt>
                  <c:pt idx="17">
                    <c:v>360 Dach</c:v>
                  </c:pt>
                  <c:pt idx="19">
                    <c:v>Sonstige</c:v>
                  </c:pt>
                  <c:pt idx="21">
                    <c:v>340 Innenwände</c:v>
                  </c:pt>
                </c:lvl>
              </c:multiLvlStrCache>
            </c:multiLvlStrRef>
          </c:cat>
          <c:val>
            <c:numRef>
              <c:f>'Ausgabe Tabellen'!$AC$16:$AC$43</c:f>
              <c:numCache>
                <c:formatCode>General</c:formatCode>
                <c:ptCount val="22"/>
                <c:pt idx="0">
                  <c:v>12.669594085487384</c:v>
                </c:pt>
                <c:pt idx="1">
                  <c:v>21.184622199683556</c:v>
                </c:pt>
                <c:pt idx="2">
                  <c:v>0.23992138641433894</c:v>
                </c:pt>
                <c:pt idx="3">
                  <c:v>3.2389387165935761</c:v>
                </c:pt>
                <c:pt idx="4">
                  <c:v>2.4030526063260189</c:v>
                </c:pt>
                <c:pt idx="5">
                  <c:v>3.4177892046479017</c:v>
                </c:pt>
                <c:pt idx="6">
                  <c:v>1.4220794903831726</c:v>
                </c:pt>
                <c:pt idx="7">
                  <c:v>2.063934632146915</c:v>
                </c:pt>
                <c:pt idx="8">
                  <c:v>3.3065529254921624</c:v>
                </c:pt>
                <c:pt idx="9">
                  <c:v>0.2835434566714915</c:v>
                </c:pt>
                <c:pt idx="10">
                  <c:v>0.54065193876714857</c:v>
                </c:pt>
                <c:pt idx="11">
                  <c:v>5.4716907606356715</c:v>
                </c:pt>
                <c:pt idx="12">
                  <c:v>6.5112046948636166</c:v>
                </c:pt>
                <c:pt idx="13">
                  <c:v>12.897475780510748</c:v>
                </c:pt>
                <c:pt idx="14">
                  <c:v>5.4251896337415459</c:v>
                </c:pt>
                <c:pt idx="15">
                  <c:v>0.3565668022819648</c:v>
                </c:pt>
                <c:pt idx="16">
                  <c:v>1.8104031598123447</c:v>
                </c:pt>
                <c:pt idx="17">
                  <c:v>0.49153348765759475</c:v>
                </c:pt>
                <c:pt idx="18">
                  <c:v>4.9606145855028725</c:v>
                </c:pt>
                <c:pt idx="19">
                  <c:v>0.32716552692864403</c:v>
                </c:pt>
                <c:pt idx="20">
                  <c:v>1.3086621077145761</c:v>
                </c:pt>
                <c:pt idx="21">
                  <c:v>0.97730886204124545</c:v>
                </c:pt>
              </c:numCache>
            </c:numRef>
          </c:val>
          <c:extLst>
            <c:ext xmlns:c16="http://schemas.microsoft.com/office/drawing/2014/chart" uri="{C3380CC4-5D6E-409C-BE32-E72D297353CC}">
              <c16:uniqueId val="{00000002-F268-4AC8-A9D9-AEA7B6A3847B}"/>
            </c:ext>
          </c:extLst>
        </c:ser>
        <c:dLbls>
          <c:showLegendKey val="0"/>
          <c:showVal val="0"/>
          <c:showCatName val="0"/>
          <c:showSerName val="0"/>
          <c:showPercent val="0"/>
          <c:showBubbleSize val="0"/>
        </c:dLbls>
        <c:gapWidth val="219"/>
        <c:axId val="1417204367"/>
        <c:axId val="862482223"/>
      </c:barChart>
      <c:catAx>
        <c:axId val="1417204367"/>
        <c:scaling>
          <c:orientation val="minMax"/>
        </c:scaling>
        <c:delete val="0"/>
        <c:axPos val="l"/>
        <c:numFmt formatCode="General" sourceLinked="1"/>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800" b="0" i="0" u="none" strike="noStrike" kern="1200" baseline="0">
                <a:solidFill>
                  <a:sysClr val="windowText" lastClr="000000"/>
                </a:solidFill>
                <a:latin typeface="+mn-lt"/>
                <a:ea typeface="+mn-ea"/>
                <a:cs typeface="+mn-cs"/>
              </a:defRPr>
            </a:pPr>
            <a:endParaRPr lang="de-DE"/>
          </a:p>
        </c:txPr>
        <c:crossAx val="862482223"/>
        <c:crosses val="autoZero"/>
        <c:auto val="1"/>
        <c:lblAlgn val="ctr"/>
        <c:lblOffset val="100"/>
        <c:noMultiLvlLbl val="0"/>
      </c:catAx>
      <c:valAx>
        <c:axId val="862482223"/>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800" b="0" i="0" u="none" strike="noStrike" kern="1200" baseline="0">
                <a:solidFill>
                  <a:sysClr val="windowText" lastClr="000000"/>
                </a:solidFill>
                <a:latin typeface="+mn-lt"/>
                <a:ea typeface="+mn-ea"/>
                <a:cs typeface="+mn-cs"/>
              </a:defRPr>
            </a:pPr>
            <a:endParaRPr lang="de-DE"/>
          </a:p>
        </c:txPr>
        <c:crossAx val="1417204367"/>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800" b="0" i="0" u="none" strike="noStrike" kern="1200" baseline="0">
              <a:solidFill>
                <a:sysClr val="windowText" lastClr="000000"/>
              </a:solidFill>
              <a:latin typeface="+mn-lt"/>
              <a:ea typeface="+mn-ea"/>
              <a:cs typeface="+mn-cs"/>
            </a:defRPr>
          </a:pPr>
          <a:endParaRPr lang="de-DE"/>
        </a:p>
      </c:txPr>
    </c:legend>
    <c:plotVisOnly val="1"/>
    <c:dispBlanksAs val="gap"/>
    <c:showDLblsOverMax val="0"/>
    <c:extLst/>
  </c:chart>
  <c:spPr>
    <a:solidFill>
      <a:schemeClr val="bg1"/>
    </a:solidFill>
    <a:ln w="9525" cap="flat" cmpd="sng" algn="ctr">
      <a:solidFill>
        <a:schemeClr val="tx1">
          <a:lumMod val="15000"/>
          <a:lumOff val="85000"/>
        </a:schemeClr>
      </a:solidFill>
      <a:round/>
    </a:ln>
    <a:effectLst/>
  </c:spPr>
  <c:txPr>
    <a:bodyPr/>
    <a:lstStyle/>
    <a:p>
      <a:pPr>
        <a:defRPr sz="1800">
          <a:solidFill>
            <a:sysClr val="windowText" lastClr="000000"/>
          </a:solidFill>
        </a:defRPr>
      </a:pPr>
      <a:endParaRPr lang="de-DE"/>
    </a:p>
  </c:txPr>
  <c:printSettings>
    <c:headerFooter/>
    <c:pageMargins b="0.78740157499999996" l="0.7" r="0.7" t="0.78740157499999996" header="0.3" footer="0.3"/>
    <c:pageSetup orientation="landscape"/>
  </c:printSettings>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pivotSource>
    <c:name>[Leitlinien_LeitRix_final-revised-26.03.2025.xlsm]Ausgabe Tabellen!Pivot_WDP</c:name>
    <c:fmtId val="25"/>
  </c:pivotSource>
  <c:chart>
    <c:title>
      <c:tx>
        <c:rich>
          <a:bodyPr rot="0" spcFirstLastPara="1" vertOverflow="ellipsis" vert="horz" wrap="square" anchor="ctr" anchorCtr="1"/>
          <a:lstStyle/>
          <a:p>
            <a:pPr>
              <a:defRPr sz="2800" b="0" i="0" u="none" strike="noStrike" kern="1200" spc="0" baseline="0">
                <a:solidFill>
                  <a:sysClr val="windowText" lastClr="000000"/>
                </a:solidFill>
                <a:latin typeface="+mn-lt"/>
                <a:ea typeface="+mn-ea"/>
                <a:cs typeface="+mn-cs"/>
              </a:defRPr>
            </a:pPr>
            <a:r>
              <a:rPr lang="de-DE"/>
              <a:t>Wasser-Fußabdruck bei Variation Dämmung | +8, 0, -4 cm |WDP [m³ weighted water/m²]</a:t>
            </a:r>
          </a:p>
        </c:rich>
      </c:tx>
      <c:overlay val="0"/>
      <c:spPr>
        <a:noFill/>
        <a:ln>
          <a:noFill/>
        </a:ln>
        <a:effectLst/>
      </c:spPr>
      <c:txPr>
        <a:bodyPr rot="0" spcFirstLastPara="1" vertOverflow="ellipsis" vert="horz" wrap="square" anchor="ctr" anchorCtr="1"/>
        <a:lstStyle/>
        <a:p>
          <a:pPr>
            <a:defRPr sz="2800" b="0" i="0" u="none" strike="noStrike" kern="1200" spc="0" baseline="0">
              <a:solidFill>
                <a:sysClr val="windowText" lastClr="000000"/>
              </a:solidFill>
              <a:latin typeface="+mn-lt"/>
              <a:ea typeface="+mn-ea"/>
              <a:cs typeface="+mn-cs"/>
            </a:defRPr>
          </a:pPr>
          <a:endParaRPr lang="de-DE"/>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6"/>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7"/>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8"/>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9"/>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2"/>
        <c:spPr>
          <a:solidFill>
            <a:srgbClr val="FF99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5"/>
        <c:spPr>
          <a:solidFill>
            <a:schemeClr val="accent1">
              <a:lumMod val="40000"/>
              <a:lumOff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6"/>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7"/>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8"/>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9"/>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0"/>
        <c:spPr>
          <a:solidFill>
            <a:schemeClr val="accent1">
              <a:lumMod val="40000"/>
              <a:lumOff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1"/>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2"/>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3"/>
        <c:spPr>
          <a:solidFill>
            <a:schemeClr val="accent1">
              <a:lumMod val="40000"/>
              <a:lumOff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4"/>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5"/>
        <c:spPr>
          <a:solidFill>
            <a:schemeClr val="accent6"/>
          </a:solidFill>
          <a:ln>
            <a:noFill/>
          </a:ln>
          <a:effectLst/>
        </c:spPr>
        <c:marker>
          <c:symbol val="none"/>
        </c:marker>
        <c:dLbl>
          <c:idx val="0"/>
          <c:spPr>
            <a:noFill/>
            <a:ln>
              <a:noFill/>
            </a:ln>
            <a:effectLst/>
          </c:spPr>
          <c:txPr>
            <a:bodyPr rot="0" spcFirstLastPara="1" vertOverflow="ellipsis" vert="horz" wrap="square" anchor="ctr" anchorCtr="1"/>
            <a:lstStyle/>
            <a:p>
              <a:pPr>
                <a:defRPr sz="12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6"/>
        <c:spPr>
          <a:solidFill>
            <a:schemeClr val="accent1">
              <a:lumMod val="40000"/>
              <a:lumOff val="60000"/>
            </a:schemeClr>
          </a:solidFill>
          <a:ln>
            <a:noFill/>
          </a:ln>
          <a:effectLst/>
        </c:spPr>
        <c:marker>
          <c:symbol val="none"/>
        </c:marker>
        <c:dLbl>
          <c:idx val="0"/>
          <c:spPr>
            <a:noFill/>
            <a:ln>
              <a:noFill/>
            </a:ln>
            <a:effectLst/>
          </c:spPr>
          <c:txPr>
            <a:bodyPr rot="0" spcFirstLastPara="1" vertOverflow="ellipsis" vert="horz" wrap="square" anchor="ctr" anchorCtr="1"/>
            <a:lstStyle/>
            <a:p>
              <a:pPr>
                <a:defRPr sz="12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7"/>
        <c:spPr>
          <a:solidFill>
            <a:srgbClr val="FFC000"/>
          </a:solidFill>
          <a:ln>
            <a:noFill/>
          </a:ln>
          <a:effectLst/>
        </c:spPr>
        <c:marker>
          <c:symbol val="none"/>
        </c:marker>
        <c:dLbl>
          <c:idx val="0"/>
          <c:spPr>
            <a:noFill/>
            <a:ln>
              <a:noFill/>
            </a:ln>
            <a:effectLst/>
          </c:spPr>
          <c:txPr>
            <a:bodyPr rot="0" spcFirstLastPara="1" vertOverflow="ellipsis" vert="horz" wrap="square" anchor="ctr" anchorCtr="1"/>
            <a:lstStyle/>
            <a:p>
              <a:pPr>
                <a:defRPr sz="12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8"/>
        <c:spPr>
          <a:solidFill>
            <a:schemeClr val="accent6"/>
          </a:solidFill>
          <a:ln>
            <a:noFill/>
          </a:ln>
          <a:effectLst/>
        </c:spPr>
        <c:marker>
          <c:symbol val="none"/>
        </c:marker>
        <c:dLbl>
          <c:idx val="0"/>
          <c:spPr>
            <a:noFill/>
            <a:ln>
              <a:noFill/>
            </a:ln>
            <a:effectLst/>
          </c:spPr>
          <c:txPr>
            <a:bodyPr rot="0" spcFirstLastPara="1" vertOverflow="ellipsis" vert="horz" wrap="square" anchor="ctr" anchorCtr="1"/>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9"/>
        <c:spPr>
          <a:solidFill>
            <a:schemeClr val="accent1">
              <a:lumMod val="40000"/>
              <a:lumOff val="60000"/>
            </a:schemeClr>
          </a:solidFill>
          <a:ln>
            <a:noFill/>
          </a:ln>
          <a:effectLst/>
        </c:spPr>
        <c:marker>
          <c:symbol val="none"/>
        </c:marker>
        <c:dLbl>
          <c:idx val="0"/>
          <c:spPr>
            <a:noFill/>
            <a:ln>
              <a:noFill/>
            </a:ln>
            <a:effectLst/>
          </c:spPr>
          <c:txPr>
            <a:bodyPr rot="0" spcFirstLastPara="1" vertOverflow="ellipsis" vert="horz" wrap="square" anchor="ctr" anchorCtr="1"/>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30"/>
        <c:spPr>
          <a:solidFill>
            <a:srgbClr val="FFC000"/>
          </a:solidFill>
          <a:ln>
            <a:noFill/>
          </a:ln>
          <a:effectLst/>
        </c:spPr>
        <c:marker>
          <c:symbol val="none"/>
        </c:marker>
        <c:dLbl>
          <c:idx val="0"/>
          <c:spPr>
            <a:noFill/>
            <a:ln>
              <a:noFill/>
            </a:ln>
            <a:effectLst/>
          </c:spPr>
          <c:txPr>
            <a:bodyPr rot="0" spcFirstLastPara="1" vertOverflow="ellipsis" vert="horz" wrap="square" anchor="ctr" anchorCtr="1"/>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31"/>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32"/>
        <c:spPr>
          <a:solidFill>
            <a:schemeClr val="accent1">
              <a:lumMod val="40000"/>
              <a:lumOff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33"/>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34"/>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35"/>
        <c:spPr>
          <a:solidFill>
            <a:schemeClr val="accent1">
              <a:lumMod val="40000"/>
              <a:lumOff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36"/>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37"/>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38"/>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39"/>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40"/>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41"/>
        <c:spPr>
          <a:solidFill>
            <a:schemeClr val="accent1">
              <a:lumMod val="40000"/>
              <a:lumOff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42"/>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43"/>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44"/>
        <c:spPr>
          <a:solidFill>
            <a:schemeClr val="accent1">
              <a:lumMod val="40000"/>
              <a:lumOff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45"/>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46"/>
        <c:spPr>
          <a:solidFill>
            <a:srgbClr val="5B9BD5">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47"/>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48"/>
        <c:spPr>
          <a:solidFill>
            <a:srgbClr val="FFC000">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49"/>
        <c:spPr>
          <a:solidFill>
            <a:srgbClr val="FFC000"/>
          </a:solidFill>
          <a:ln>
            <a:noFill/>
          </a:ln>
          <a:effectLst/>
        </c:spPr>
      </c:pivotFmt>
      <c:pivotFmt>
        <c:idx val="50"/>
        <c:spPr>
          <a:solidFill>
            <a:srgbClr val="FFC000">
              <a:lumMod val="75000"/>
            </a:srgbClr>
          </a:solidFill>
          <a:ln>
            <a:noFill/>
          </a:ln>
          <a:effectLst/>
        </c:spPr>
      </c:pivotFmt>
      <c:pivotFmt>
        <c:idx val="51"/>
        <c:spPr>
          <a:solidFill>
            <a:srgbClr val="70AD47">
              <a:lumMod val="50000"/>
            </a:srgbClr>
          </a:solidFill>
          <a:ln>
            <a:noFill/>
          </a:ln>
          <a:effectLst/>
        </c:spPr>
      </c:pivotFmt>
      <c:pivotFmt>
        <c:idx val="52"/>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53"/>
        <c:spPr>
          <a:solidFill>
            <a:srgbClr val="70AD47">
              <a:lumMod val="50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54"/>
        <c:spPr>
          <a:solidFill>
            <a:schemeClr val="accent1">
              <a:lumMod val="40000"/>
              <a:lumOff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55"/>
        <c:spPr>
          <a:solidFill>
            <a:srgbClr val="5B9BD5">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56"/>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57"/>
        <c:spPr>
          <a:solidFill>
            <a:srgbClr val="FFC000">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58"/>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59"/>
        <c:spPr>
          <a:solidFill>
            <a:srgbClr val="FFC000"/>
          </a:solidFill>
          <a:ln>
            <a:noFill/>
          </a:ln>
          <a:effectLst/>
        </c:spPr>
      </c:pivotFmt>
      <c:pivotFmt>
        <c:idx val="60"/>
      </c:pivotFmt>
      <c:pivotFmt>
        <c:idx val="61"/>
        <c:spPr>
          <a:solidFill>
            <a:srgbClr val="70AD47"/>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62"/>
        <c:spPr>
          <a:solidFill>
            <a:srgbClr val="70AD47">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63"/>
        <c:spPr>
          <a:solidFill>
            <a:srgbClr val="4472C4">
              <a:lumMod val="40000"/>
              <a:lumOff val="60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64"/>
        <c:spPr>
          <a:solidFill>
            <a:srgbClr val="5B9BD5">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65"/>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66"/>
        <c:spPr>
          <a:solidFill>
            <a:srgbClr val="FFC000">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67"/>
        <c:spPr>
          <a:solidFill>
            <a:srgbClr val="70AD47"/>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68"/>
        <c:spPr>
          <a:solidFill>
            <a:srgbClr val="70AD47">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69"/>
        <c:spPr>
          <a:solidFill>
            <a:srgbClr val="4472C4">
              <a:lumMod val="40000"/>
              <a:lumOff val="60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70"/>
        <c:spPr>
          <a:solidFill>
            <a:srgbClr val="5B9BD5">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71"/>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72"/>
        <c:spPr>
          <a:solidFill>
            <a:srgbClr val="FFC000">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73"/>
        <c:spPr>
          <a:solidFill>
            <a:srgbClr val="70AD47"/>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74"/>
        <c:spPr>
          <a:solidFill>
            <a:srgbClr val="4472C4">
              <a:lumMod val="40000"/>
              <a:lumOff val="60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75"/>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76"/>
        <c:spPr>
          <a:solidFill>
            <a:srgbClr val="70AD47">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77"/>
        <c:spPr>
          <a:solidFill>
            <a:srgbClr val="5B9BD5"/>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78"/>
        <c:spPr>
          <a:solidFill>
            <a:srgbClr val="FFC000">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79"/>
        <c:spPr>
          <a:solidFill>
            <a:srgbClr val="70AD47"/>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80"/>
        <c:spPr>
          <a:solidFill>
            <a:srgbClr val="4472C4">
              <a:lumMod val="40000"/>
              <a:lumOff val="60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81"/>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82"/>
        <c:spPr>
          <a:solidFill>
            <a:srgbClr val="70AD47">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83"/>
        <c:spPr>
          <a:solidFill>
            <a:srgbClr val="5B9BD5"/>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84"/>
        <c:spPr>
          <a:solidFill>
            <a:srgbClr val="FFC000">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0.44628537930092804"/>
          <c:y val="8.6735975807670257E-2"/>
          <c:w val="0.52960720016805685"/>
          <c:h val="0.79120168037304672"/>
        </c:manualLayout>
      </c:layout>
      <c:barChart>
        <c:barDir val="bar"/>
        <c:grouping val="clustered"/>
        <c:varyColors val="0"/>
        <c:ser>
          <c:idx val="0"/>
          <c:order val="0"/>
          <c:tx>
            <c:strRef>
              <c:f>'Ausgabe Tabellen'!$AH$13:$AH$15</c:f>
              <c:strCache>
                <c:ptCount val="1"/>
                <c:pt idx="0">
                  <c:v>A1-A3 -   WDP  min</c:v>
                </c:pt>
              </c:strCache>
            </c:strRef>
          </c:tx>
          <c:spPr>
            <a:solidFill>
              <a:srgbClr val="70AD47"/>
            </a:solidFill>
            <a:ln>
              <a:noFill/>
            </a:ln>
            <a:effectLst/>
          </c:spPr>
          <c:invertIfNegative val="0"/>
          <c:cat>
            <c:multiLvlStrRef>
              <c:f>'Ausgabe Tabellen'!$AG$16:$AG$43</c:f>
              <c:multiLvlStrCache>
                <c:ptCount val="22"/>
                <c:lvl>
                  <c:pt idx="0">
                    <c:v>1. Stahlbeton-Bodenplatte | Referenz XPS</c:v>
                  </c:pt>
                  <c:pt idx="1">
                    <c:v>2. Stahlbeton (R-Beton) - Bodenplatte | Referenz XPS</c:v>
                  </c:pt>
                  <c:pt idx="2">
                    <c:v>0. Pfosten/Riegelsystem aus Aluminium | Referenz</c:v>
                  </c:pt>
                  <c:pt idx="3">
                    <c:v>1. Mauerwerk, einschalig - Kalksandstein (KS) mit Dämmung | Referenz EPS</c:v>
                  </c:pt>
                  <c:pt idx="4">
                    <c:v>2. Mauerwerk, einschalig - Kalksandstein (KS) mit Dämmung | Hanf</c:v>
                  </c:pt>
                  <c:pt idx="5">
                    <c:v>3. Mauerwerk, einschalig - Kalksandstein (KS) mit Dämmung | Zellulose</c:v>
                  </c:pt>
                  <c:pt idx="6">
                    <c:v>4. Mauerwerk, einschalig - Hochlochziegel (HLZ) | Referenz MiWo</c:v>
                  </c:pt>
                  <c:pt idx="7">
                    <c:v>5. Mauerwerk, einschalig - Mauerziegel (gefüllt) | Referenz</c:v>
                  </c:pt>
                  <c:pt idx="8">
                    <c:v>6. Mauerwerk, zweischalig - Vollziegel (VZ) | Referenz MiWo</c:v>
                  </c:pt>
                  <c:pt idx="9">
                    <c:v>7. Holzrahmenbau - Holzständerbauweise (HSB) | Referenz MiWo</c:v>
                  </c:pt>
                  <c:pt idx="10">
                    <c:v>8. Holzrahmenbau - Holzständerbauweise (HSB) | Stroh</c:v>
                  </c:pt>
                  <c:pt idx="11">
                    <c:v>9. Stampflehmwand | -</c:v>
                  </c:pt>
                  <c:pt idx="12">
                    <c:v>1. Außenwand Beton | konv. Beton</c:v>
                  </c:pt>
                  <c:pt idx="13">
                    <c:v>2. Außenwand Beton | R-Beton</c:v>
                  </c:pt>
                  <c:pt idx="14">
                    <c:v>1. Stahlbetondecke | Referenz EPS</c:v>
                  </c:pt>
                  <c:pt idx="15">
                    <c:v>2. Metalldecke | Referenz XPS</c:v>
                  </c:pt>
                  <c:pt idx="16">
                    <c:v>3. Holzdecke | Referenz MiWo</c:v>
                  </c:pt>
                  <c:pt idx="17">
                    <c:v>1. Schrägdach - Holzkonstruktion | Referenz MiWo</c:v>
                  </c:pt>
                  <c:pt idx="18">
                    <c:v>2. Flachdach - Stahlbeton | Referenz PIR</c:v>
                  </c:pt>
                  <c:pt idx="19">
                    <c:v>1. Heizung | Neu</c:v>
                  </c:pt>
                  <c:pt idx="20">
                    <c:v>2. Heizung | ReUse</c:v>
                  </c:pt>
                  <c:pt idx="21">
                    <c:v>1. Innenwand | Trockenbau</c:v>
                  </c:pt>
                </c:lvl>
                <c:lvl>
                  <c:pt idx="0">
                    <c:v>320 Gründung</c:v>
                  </c:pt>
                  <c:pt idx="2">
                    <c:v>330 Außenwände</c:v>
                  </c:pt>
                  <c:pt idx="14">
                    <c:v>350 Geschossdecken</c:v>
                  </c:pt>
                  <c:pt idx="17">
                    <c:v>360 Dach</c:v>
                  </c:pt>
                  <c:pt idx="19">
                    <c:v>Sonstige</c:v>
                  </c:pt>
                  <c:pt idx="21">
                    <c:v>340 Innenwände</c:v>
                  </c:pt>
                </c:lvl>
              </c:multiLvlStrCache>
            </c:multiLvlStrRef>
          </c:cat>
          <c:val>
            <c:numRef>
              <c:f>'Ausgabe Tabellen'!$AH$16:$AH$43</c:f>
              <c:numCache>
                <c:formatCode>0</c:formatCode>
                <c:ptCount val="22"/>
                <c:pt idx="0">
                  <c:v>82.828111055334446</c:v>
                </c:pt>
                <c:pt idx="1">
                  <c:v>84.534976927498249</c:v>
                </c:pt>
                <c:pt idx="2">
                  <c:v>60.742569382690959</c:v>
                </c:pt>
                <c:pt idx="3">
                  <c:v>30.764106480242503</c:v>
                </c:pt>
                <c:pt idx="4">
                  <c:v>20.878935336533761</c:v>
                </c:pt>
                <c:pt idx="5">
                  <c:v>25.897613012142365</c:v>
                </c:pt>
                <c:pt idx="6">
                  <c:v>9.4374322152349954</c:v>
                </c:pt>
                <c:pt idx="7">
                  <c:v>23.244685808137152</c:v>
                </c:pt>
                <c:pt idx="8">
                  <c:v>17.282580577742884</c:v>
                </c:pt>
                <c:pt idx="9">
                  <c:v>7.4427390742075783</c:v>
                </c:pt>
                <c:pt idx="10">
                  <c:v>6.6887044154597648</c:v>
                </c:pt>
                <c:pt idx="11">
                  <c:v>58.156897421717815</c:v>
                </c:pt>
                <c:pt idx="12">
                  <c:v>60.073392774350665</c:v>
                </c:pt>
                <c:pt idx="13">
                  <c:v>61.353542178473525</c:v>
                </c:pt>
                <c:pt idx="14">
                  <c:v>50.649294364447243</c:v>
                </c:pt>
                <c:pt idx="15">
                  <c:v>23.063265653209257</c:v>
                </c:pt>
                <c:pt idx="16">
                  <c:v>11.937857356131026</c:v>
                </c:pt>
                <c:pt idx="17">
                  <c:v>6.1572759956251586</c:v>
                </c:pt>
                <c:pt idx="18">
                  <c:v>59.432493113166885</c:v>
                </c:pt>
                <c:pt idx="19">
                  <c:v>86.198059095900007</c:v>
                </c:pt>
                <c:pt idx="20">
                  <c:v>0</c:v>
                </c:pt>
                <c:pt idx="21">
                  <c:v>15.828033273270336</c:v>
                </c:pt>
              </c:numCache>
            </c:numRef>
          </c:val>
          <c:extLst>
            <c:ext xmlns:c16="http://schemas.microsoft.com/office/drawing/2014/chart" uri="{C3380CC4-5D6E-409C-BE32-E72D297353CC}">
              <c16:uniqueId val="{00000004-9190-443F-9877-CAB9B86B6F62}"/>
            </c:ext>
          </c:extLst>
        </c:ser>
        <c:ser>
          <c:idx val="1"/>
          <c:order val="1"/>
          <c:tx>
            <c:strRef>
              <c:f>'Ausgabe Tabellen'!$AI$13:$AI$15</c:f>
              <c:strCache>
                <c:ptCount val="1"/>
                <c:pt idx="0">
                  <c:v>A1-A3 -   WDP  Referenz</c:v>
                </c:pt>
              </c:strCache>
            </c:strRef>
          </c:tx>
          <c:spPr>
            <a:solidFill>
              <a:srgbClr val="4472C4">
                <a:lumMod val="40000"/>
                <a:lumOff val="60000"/>
              </a:srgbClr>
            </a:solidFill>
            <a:ln>
              <a:noFill/>
            </a:ln>
            <a:effectLst/>
          </c:spPr>
          <c:invertIfNegative val="0"/>
          <c:cat>
            <c:multiLvlStrRef>
              <c:f>'Ausgabe Tabellen'!$AG$16:$AG$43</c:f>
              <c:multiLvlStrCache>
                <c:ptCount val="22"/>
                <c:lvl>
                  <c:pt idx="0">
                    <c:v>1. Stahlbeton-Bodenplatte | Referenz XPS</c:v>
                  </c:pt>
                  <c:pt idx="1">
                    <c:v>2. Stahlbeton (R-Beton) - Bodenplatte | Referenz XPS</c:v>
                  </c:pt>
                  <c:pt idx="2">
                    <c:v>0. Pfosten/Riegelsystem aus Aluminium | Referenz</c:v>
                  </c:pt>
                  <c:pt idx="3">
                    <c:v>1. Mauerwerk, einschalig - Kalksandstein (KS) mit Dämmung | Referenz EPS</c:v>
                  </c:pt>
                  <c:pt idx="4">
                    <c:v>2. Mauerwerk, einschalig - Kalksandstein (KS) mit Dämmung | Hanf</c:v>
                  </c:pt>
                  <c:pt idx="5">
                    <c:v>3. Mauerwerk, einschalig - Kalksandstein (KS) mit Dämmung | Zellulose</c:v>
                  </c:pt>
                  <c:pt idx="6">
                    <c:v>4. Mauerwerk, einschalig - Hochlochziegel (HLZ) | Referenz MiWo</c:v>
                  </c:pt>
                  <c:pt idx="7">
                    <c:v>5. Mauerwerk, einschalig - Mauerziegel (gefüllt) | Referenz</c:v>
                  </c:pt>
                  <c:pt idx="8">
                    <c:v>6. Mauerwerk, zweischalig - Vollziegel (VZ) | Referenz MiWo</c:v>
                  </c:pt>
                  <c:pt idx="9">
                    <c:v>7. Holzrahmenbau - Holzständerbauweise (HSB) | Referenz MiWo</c:v>
                  </c:pt>
                  <c:pt idx="10">
                    <c:v>8. Holzrahmenbau - Holzständerbauweise (HSB) | Stroh</c:v>
                  </c:pt>
                  <c:pt idx="11">
                    <c:v>9. Stampflehmwand | -</c:v>
                  </c:pt>
                  <c:pt idx="12">
                    <c:v>1. Außenwand Beton | konv. Beton</c:v>
                  </c:pt>
                  <c:pt idx="13">
                    <c:v>2. Außenwand Beton | R-Beton</c:v>
                  </c:pt>
                  <c:pt idx="14">
                    <c:v>1. Stahlbetondecke | Referenz EPS</c:v>
                  </c:pt>
                  <c:pt idx="15">
                    <c:v>2. Metalldecke | Referenz XPS</c:v>
                  </c:pt>
                  <c:pt idx="16">
                    <c:v>3. Holzdecke | Referenz MiWo</c:v>
                  </c:pt>
                  <c:pt idx="17">
                    <c:v>1. Schrägdach - Holzkonstruktion | Referenz MiWo</c:v>
                  </c:pt>
                  <c:pt idx="18">
                    <c:v>2. Flachdach - Stahlbeton | Referenz PIR</c:v>
                  </c:pt>
                  <c:pt idx="19">
                    <c:v>1. Heizung | Neu</c:v>
                  </c:pt>
                  <c:pt idx="20">
                    <c:v>2. Heizung | ReUse</c:v>
                  </c:pt>
                  <c:pt idx="21">
                    <c:v>1. Innenwand | Trockenbau</c:v>
                  </c:pt>
                </c:lvl>
                <c:lvl>
                  <c:pt idx="0">
                    <c:v>320 Gründung</c:v>
                  </c:pt>
                  <c:pt idx="2">
                    <c:v>330 Außenwände</c:v>
                  </c:pt>
                  <c:pt idx="14">
                    <c:v>350 Geschossdecken</c:v>
                  </c:pt>
                  <c:pt idx="17">
                    <c:v>360 Dach</c:v>
                  </c:pt>
                  <c:pt idx="19">
                    <c:v>Sonstige</c:v>
                  </c:pt>
                  <c:pt idx="21">
                    <c:v>340 Innenwände</c:v>
                  </c:pt>
                </c:lvl>
              </c:multiLvlStrCache>
            </c:multiLvlStrRef>
          </c:cat>
          <c:val>
            <c:numRef>
              <c:f>'Ausgabe Tabellen'!$AI$16:$AI$43</c:f>
              <c:numCache>
                <c:formatCode>0</c:formatCode>
                <c:ptCount val="22"/>
                <c:pt idx="0">
                  <c:v>87.039542728892712</c:v>
                </c:pt>
                <c:pt idx="1">
                  <c:v>88.74640860105653</c:v>
                </c:pt>
                <c:pt idx="2">
                  <c:v>60.742569382690959</c:v>
                </c:pt>
                <c:pt idx="3">
                  <c:v>33.411886374957277</c:v>
                </c:pt>
                <c:pt idx="4">
                  <c:v>21.606743221640635</c:v>
                </c:pt>
                <c:pt idx="5">
                  <c:v>26.148751976876934</c:v>
                </c:pt>
                <c:pt idx="6">
                  <c:v>11.442265017622281</c:v>
                </c:pt>
                <c:pt idx="7">
                  <c:v>23.244685808137152</c:v>
                </c:pt>
                <c:pt idx="8">
                  <c:v>19.287413380130172</c:v>
                </c:pt>
                <c:pt idx="9">
                  <c:v>9.1668952842606437</c:v>
                </c:pt>
                <c:pt idx="10">
                  <c:v>7.0265995341231662</c:v>
                </c:pt>
                <c:pt idx="11">
                  <c:v>62.021222192478902</c:v>
                </c:pt>
                <c:pt idx="12">
                  <c:v>62.07822557673795</c:v>
                </c:pt>
                <c:pt idx="13">
                  <c:v>63.358374980860809</c:v>
                </c:pt>
                <c:pt idx="14">
                  <c:v>53.297074259162017</c:v>
                </c:pt>
                <c:pt idx="15">
                  <c:v>27.27469732676753</c:v>
                </c:pt>
                <c:pt idx="16">
                  <c:v>13.942690158518314</c:v>
                </c:pt>
                <c:pt idx="17">
                  <c:v>8.0952810379328675</c:v>
                </c:pt>
                <c:pt idx="18">
                  <c:v>65.827684423470814</c:v>
                </c:pt>
                <c:pt idx="19">
                  <c:v>86.198059095900007</c:v>
                </c:pt>
                <c:pt idx="20">
                  <c:v>0</c:v>
                </c:pt>
                <c:pt idx="21">
                  <c:v>17.83286607565762</c:v>
                </c:pt>
              </c:numCache>
            </c:numRef>
          </c:val>
          <c:extLst>
            <c:ext xmlns:c16="http://schemas.microsoft.com/office/drawing/2014/chart" uri="{C3380CC4-5D6E-409C-BE32-E72D297353CC}">
              <c16:uniqueId val="{00000005-9190-443F-9877-CAB9B86B6F62}"/>
            </c:ext>
          </c:extLst>
        </c:ser>
        <c:ser>
          <c:idx val="2"/>
          <c:order val="2"/>
          <c:tx>
            <c:strRef>
              <c:f>'Ausgabe Tabellen'!$AJ$13:$AJ$15</c:f>
              <c:strCache>
                <c:ptCount val="1"/>
                <c:pt idx="0">
                  <c:v>A1-A3 -   WDP  max</c:v>
                </c:pt>
              </c:strCache>
            </c:strRef>
          </c:tx>
          <c:spPr>
            <a:solidFill>
              <a:srgbClr val="FFC000"/>
            </a:solidFill>
            <a:ln>
              <a:noFill/>
            </a:ln>
            <a:effectLst/>
          </c:spPr>
          <c:invertIfNegative val="0"/>
          <c:cat>
            <c:multiLvlStrRef>
              <c:f>'Ausgabe Tabellen'!$AG$16:$AG$43</c:f>
              <c:multiLvlStrCache>
                <c:ptCount val="22"/>
                <c:lvl>
                  <c:pt idx="0">
                    <c:v>1. Stahlbeton-Bodenplatte | Referenz XPS</c:v>
                  </c:pt>
                  <c:pt idx="1">
                    <c:v>2. Stahlbeton (R-Beton) - Bodenplatte | Referenz XPS</c:v>
                  </c:pt>
                  <c:pt idx="2">
                    <c:v>0. Pfosten/Riegelsystem aus Aluminium | Referenz</c:v>
                  </c:pt>
                  <c:pt idx="3">
                    <c:v>1. Mauerwerk, einschalig - Kalksandstein (KS) mit Dämmung | Referenz EPS</c:v>
                  </c:pt>
                  <c:pt idx="4">
                    <c:v>2. Mauerwerk, einschalig - Kalksandstein (KS) mit Dämmung | Hanf</c:v>
                  </c:pt>
                  <c:pt idx="5">
                    <c:v>3. Mauerwerk, einschalig - Kalksandstein (KS) mit Dämmung | Zellulose</c:v>
                  </c:pt>
                  <c:pt idx="6">
                    <c:v>4. Mauerwerk, einschalig - Hochlochziegel (HLZ) | Referenz MiWo</c:v>
                  </c:pt>
                  <c:pt idx="7">
                    <c:v>5. Mauerwerk, einschalig - Mauerziegel (gefüllt) | Referenz</c:v>
                  </c:pt>
                  <c:pt idx="8">
                    <c:v>6. Mauerwerk, zweischalig - Vollziegel (VZ) | Referenz MiWo</c:v>
                  </c:pt>
                  <c:pt idx="9">
                    <c:v>7. Holzrahmenbau - Holzständerbauweise (HSB) | Referenz MiWo</c:v>
                  </c:pt>
                  <c:pt idx="10">
                    <c:v>8. Holzrahmenbau - Holzständerbauweise (HSB) | Stroh</c:v>
                  </c:pt>
                  <c:pt idx="11">
                    <c:v>9. Stampflehmwand | -</c:v>
                  </c:pt>
                  <c:pt idx="12">
                    <c:v>1. Außenwand Beton | konv. Beton</c:v>
                  </c:pt>
                  <c:pt idx="13">
                    <c:v>2. Außenwand Beton | R-Beton</c:v>
                  </c:pt>
                  <c:pt idx="14">
                    <c:v>1. Stahlbetondecke | Referenz EPS</c:v>
                  </c:pt>
                  <c:pt idx="15">
                    <c:v>2. Metalldecke | Referenz XPS</c:v>
                  </c:pt>
                  <c:pt idx="16">
                    <c:v>3. Holzdecke | Referenz MiWo</c:v>
                  </c:pt>
                  <c:pt idx="17">
                    <c:v>1. Schrägdach - Holzkonstruktion | Referenz MiWo</c:v>
                  </c:pt>
                  <c:pt idx="18">
                    <c:v>2. Flachdach - Stahlbeton | Referenz PIR</c:v>
                  </c:pt>
                  <c:pt idx="19">
                    <c:v>1. Heizung | Neu</c:v>
                  </c:pt>
                  <c:pt idx="20">
                    <c:v>2. Heizung | ReUse</c:v>
                  </c:pt>
                  <c:pt idx="21">
                    <c:v>1. Innenwand | Trockenbau</c:v>
                  </c:pt>
                </c:lvl>
                <c:lvl>
                  <c:pt idx="0">
                    <c:v>320 Gründung</c:v>
                  </c:pt>
                  <c:pt idx="2">
                    <c:v>330 Außenwände</c:v>
                  </c:pt>
                  <c:pt idx="14">
                    <c:v>350 Geschossdecken</c:v>
                  </c:pt>
                  <c:pt idx="17">
                    <c:v>360 Dach</c:v>
                  </c:pt>
                  <c:pt idx="19">
                    <c:v>Sonstige</c:v>
                  </c:pt>
                  <c:pt idx="21">
                    <c:v>340 Innenwände</c:v>
                  </c:pt>
                </c:lvl>
              </c:multiLvlStrCache>
            </c:multiLvlStrRef>
          </c:cat>
          <c:val>
            <c:numRef>
              <c:f>'Ausgabe Tabellen'!$AJ$16:$AJ$43</c:f>
              <c:numCache>
                <c:formatCode>0</c:formatCode>
                <c:ptCount val="22"/>
                <c:pt idx="0">
                  <c:v>95.462406076009259</c:v>
                </c:pt>
                <c:pt idx="1">
                  <c:v>97.169271948173062</c:v>
                </c:pt>
                <c:pt idx="2">
                  <c:v>60.742569382690959</c:v>
                </c:pt>
                <c:pt idx="3">
                  <c:v>38.707446164386816</c:v>
                </c:pt>
                <c:pt idx="4">
                  <c:v>23.062358991854378</c:v>
                </c:pt>
                <c:pt idx="5">
                  <c:v>26.651029906346068</c:v>
                </c:pt>
                <c:pt idx="6">
                  <c:v>15.451930622396851</c:v>
                </c:pt>
                <c:pt idx="7">
                  <c:v>23.244685808137152</c:v>
                </c:pt>
                <c:pt idx="8">
                  <c:v>23.297078984904743</c:v>
                </c:pt>
                <c:pt idx="9">
                  <c:v>12.615207704366776</c:v>
                </c:pt>
                <c:pt idx="10">
                  <c:v>7.7023897714499689</c:v>
                </c:pt>
                <c:pt idx="11">
                  <c:v>69.749871734001076</c:v>
                </c:pt>
                <c:pt idx="12">
                  <c:v>66.087891181512532</c:v>
                </c:pt>
                <c:pt idx="13">
                  <c:v>67.368040585635384</c:v>
                </c:pt>
                <c:pt idx="14">
                  <c:v>58.592634048591549</c:v>
                </c:pt>
                <c:pt idx="15">
                  <c:v>35.697560673884077</c:v>
                </c:pt>
                <c:pt idx="16">
                  <c:v>17.952355763292882</c:v>
                </c:pt>
                <c:pt idx="17">
                  <c:v>11.971291122548289</c:v>
                </c:pt>
                <c:pt idx="18">
                  <c:v>78.618067044078643</c:v>
                </c:pt>
                <c:pt idx="19">
                  <c:v>86.198059095900007</c:v>
                </c:pt>
                <c:pt idx="20">
                  <c:v>0</c:v>
                </c:pt>
                <c:pt idx="21">
                  <c:v>21.842531680432188</c:v>
                </c:pt>
              </c:numCache>
            </c:numRef>
          </c:val>
          <c:extLst>
            <c:ext xmlns:c16="http://schemas.microsoft.com/office/drawing/2014/chart" uri="{C3380CC4-5D6E-409C-BE32-E72D297353CC}">
              <c16:uniqueId val="{00000006-9190-443F-9877-CAB9B86B6F62}"/>
            </c:ext>
          </c:extLst>
        </c:ser>
        <c:ser>
          <c:idx val="3"/>
          <c:order val="3"/>
          <c:tx>
            <c:strRef>
              <c:f>'Ausgabe Tabellen'!$AK$13:$AK$15</c:f>
              <c:strCache>
                <c:ptCount val="1"/>
                <c:pt idx="0">
                  <c:v>A4 -   WDP  min</c:v>
                </c:pt>
              </c:strCache>
            </c:strRef>
          </c:tx>
          <c:spPr>
            <a:solidFill>
              <a:srgbClr val="70AD47">
                <a:lumMod val="75000"/>
              </a:srgbClr>
            </a:solidFill>
            <a:ln>
              <a:noFill/>
            </a:ln>
            <a:effectLst/>
          </c:spPr>
          <c:invertIfNegative val="0"/>
          <c:cat>
            <c:multiLvlStrRef>
              <c:f>'Ausgabe Tabellen'!$AG$16:$AG$43</c:f>
              <c:multiLvlStrCache>
                <c:ptCount val="22"/>
                <c:lvl>
                  <c:pt idx="0">
                    <c:v>1. Stahlbeton-Bodenplatte | Referenz XPS</c:v>
                  </c:pt>
                  <c:pt idx="1">
                    <c:v>2. Stahlbeton (R-Beton) - Bodenplatte | Referenz XPS</c:v>
                  </c:pt>
                  <c:pt idx="2">
                    <c:v>0. Pfosten/Riegelsystem aus Aluminium | Referenz</c:v>
                  </c:pt>
                  <c:pt idx="3">
                    <c:v>1. Mauerwerk, einschalig - Kalksandstein (KS) mit Dämmung | Referenz EPS</c:v>
                  </c:pt>
                  <c:pt idx="4">
                    <c:v>2. Mauerwerk, einschalig - Kalksandstein (KS) mit Dämmung | Hanf</c:v>
                  </c:pt>
                  <c:pt idx="5">
                    <c:v>3. Mauerwerk, einschalig - Kalksandstein (KS) mit Dämmung | Zellulose</c:v>
                  </c:pt>
                  <c:pt idx="6">
                    <c:v>4. Mauerwerk, einschalig - Hochlochziegel (HLZ) | Referenz MiWo</c:v>
                  </c:pt>
                  <c:pt idx="7">
                    <c:v>5. Mauerwerk, einschalig - Mauerziegel (gefüllt) | Referenz</c:v>
                  </c:pt>
                  <c:pt idx="8">
                    <c:v>6. Mauerwerk, zweischalig - Vollziegel (VZ) | Referenz MiWo</c:v>
                  </c:pt>
                  <c:pt idx="9">
                    <c:v>7. Holzrahmenbau - Holzständerbauweise (HSB) | Referenz MiWo</c:v>
                  </c:pt>
                  <c:pt idx="10">
                    <c:v>8. Holzrahmenbau - Holzständerbauweise (HSB) | Stroh</c:v>
                  </c:pt>
                  <c:pt idx="11">
                    <c:v>9. Stampflehmwand | -</c:v>
                  </c:pt>
                  <c:pt idx="12">
                    <c:v>1. Außenwand Beton | konv. Beton</c:v>
                  </c:pt>
                  <c:pt idx="13">
                    <c:v>2. Außenwand Beton | R-Beton</c:v>
                  </c:pt>
                  <c:pt idx="14">
                    <c:v>1. Stahlbetondecke | Referenz EPS</c:v>
                  </c:pt>
                  <c:pt idx="15">
                    <c:v>2. Metalldecke | Referenz XPS</c:v>
                  </c:pt>
                  <c:pt idx="16">
                    <c:v>3. Holzdecke | Referenz MiWo</c:v>
                  </c:pt>
                  <c:pt idx="17">
                    <c:v>1. Schrägdach - Holzkonstruktion | Referenz MiWo</c:v>
                  </c:pt>
                  <c:pt idx="18">
                    <c:v>2. Flachdach - Stahlbeton | Referenz PIR</c:v>
                  </c:pt>
                  <c:pt idx="19">
                    <c:v>1. Heizung | Neu</c:v>
                  </c:pt>
                  <c:pt idx="20">
                    <c:v>2. Heizung | ReUse</c:v>
                  </c:pt>
                  <c:pt idx="21">
                    <c:v>1. Innenwand | Trockenbau</c:v>
                  </c:pt>
                </c:lvl>
                <c:lvl>
                  <c:pt idx="0">
                    <c:v>320 Gründung</c:v>
                  </c:pt>
                  <c:pt idx="2">
                    <c:v>330 Außenwände</c:v>
                  </c:pt>
                  <c:pt idx="14">
                    <c:v>350 Geschossdecken</c:v>
                  </c:pt>
                  <c:pt idx="17">
                    <c:v>360 Dach</c:v>
                  </c:pt>
                  <c:pt idx="19">
                    <c:v>Sonstige</c:v>
                  </c:pt>
                  <c:pt idx="21">
                    <c:v>340 Innenwände</c:v>
                  </c:pt>
                </c:lvl>
              </c:multiLvlStrCache>
            </c:multiLvlStrRef>
          </c:cat>
          <c:val>
            <c:numRef>
              <c:f>'Ausgabe Tabellen'!$AK$16:$AK$43</c:f>
              <c:numCache>
                <c:formatCode>0</c:formatCode>
                <c:ptCount val="22"/>
                <c:pt idx="0">
                  <c:v>0.95123773846653559</c:v>
                </c:pt>
                <c:pt idx="1">
                  <c:v>1.5922441407030918</c:v>
                </c:pt>
                <c:pt idx="2">
                  <c:v>1.8061143505640673E-2</c:v>
                </c:pt>
                <c:pt idx="3">
                  <c:v>0.24185513076189738</c:v>
                </c:pt>
                <c:pt idx="4">
                  <c:v>0.17790554737483441</c:v>
                </c:pt>
                <c:pt idx="5">
                  <c:v>0.25098421784293029</c:v>
                </c:pt>
                <c:pt idx="6">
                  <c:v>0.10340825618047723</c:v>
                </c:pt>
                <c:pt idx="7">
                  <c:v>0.15537180796834232</c:v>
                </c:pt>
                <c:pt idx="8">
                  <c:v>0.24527032880660035</c:v>
                </c:pt>
                <c:pt idx="9">
                  <c:v>1.8205632653685799E-2</c:v>
                </c:pt>
                <c:pt idx="10">
                  <c:v>3.4394984923287353E-2</c:v>
                </c:pt>
                <c:pt idx="11">
                  <c:v>0.40002477405147713</c:v>
                </c:pt>
                <c:pt idx="12">
                  <c:v>0.48652123222212723</c:v>
                </c:pt>
                <c:pt idx="13">
                  <c:v>0.96727603389954442</c:v>
                </c:pt>
                <c:pt idx="14">
                  <c:v>0.40643483807384273</c:v>
                </c:pt>
                <c:pt idx="15">
                  <c:v>2.4320150691413606E-2</c:v>
                </c:pt>
                <c:pt idx="16">
                  <c:v>0.13264103790542511</c:v>
                </c:pt>
                <c:pt idx="17">
                  <c:v>3.3482076215184058E-2</c:v>
                </c:pt>
                <c:pt idx="18">
                  <c:v>0.37106783524552456</c:v>
                </c:pt>
                <c:pt idx="19">
                  <c:v>2.4628832053146373E-2</c:v>
                </c:pt>
                <c:pt idx="20">
                  <c:v>9.851532821258549E-2</c:v>
                </c:pt>
                <c:pt idx="21">
                  <c:v>6.9932747653840693E-2</c:v>
                </c:pt>
              </c:numCache>
            </c:numRef>
          </c:val>
          <c:extLst>
            <c:ext xmlns:c16="http://schemas.microsoft.com/office/drawing/2014/chart" uri="{C3380CC4-5D6E-409C-BE32-E72D297353CC}">
              <c16:uniqueId val="{00000000-530C-4E6C-BCDA-03EEC1D19859}"/>
            </c:ext>
          </c:extLst>
        </c:ser>
        <c:ser>
          <c:idx val="4"/>
          <c:order val="4"/>
          <c:tx>
            <c:strRef>
              <c:f>'Ausgabe Tabellen'!$AL$13:$AL$15</c:f>
              <c:strCache>
                <c:ptCount val="1"/>
                <c:pt idx="0">
                  <c:v>A4 -   WDP  Referenz</c:v>
                </c:pt>
              </c:strCache>
            </c:strRef>
          </c:tx>
          <c:spPr>
            <a:solidFill>
              <a:srgbClr val="5B9BD5"/>
            </a:solidFill>
            <a:ln>
              <a:noFill/>
            </a:ln>
            <a:effectLst/>
          </c:spPr>
          <c:invertIfNegative val="0"/>
          <c:cat>
            <c:multiLvlStrRef>
              <c:f>'Ausgabe Tabellen'!$AG$16:$AG$43</c:f>
              <c:multiLvlStrCache>
                <c:ptCount val="22"/>
                <c:lvl>
                  <c:pt idx="0">
                    <c:v>1. Stahlbeton-Bodenplatte | Referenz XPS</c:v>
                  </c:pt>
                  <c:pt idx="1">
                    <c:v>2. Stahlbeton (R-Beton) - Bodenplatte | Referenz XPS</c:v>
                  </c:pt>
                  <c:pt idx="2">
                    <c:v>0. Pfosten/Riegelsystem aus Aluminium | Referenz</c:v>
                  </c:pt>
                  <c:pt idx="3">
                    <c:v>1. Mauerwerk, einschalig - Kalksandstein (KS) mit Dämmung | Referenz EPS</c:v>
                  </c:pt>
                  <c:pt idx="4">
                    <c:v>2. Mauerwerk, einschalig - Kalksandstein (KS) mit Dämmung | Hanf</c:v>
                  </c:pt>
                  <c:pt idx="5">
                    <c:v>3. Mauerwerk, einschalig - Kalksandstein (KS) mit Dämmung | Zellulose</c:v>
                  </c:pt>
                  <c:pt idx="6">
                    <c:v>4. Mauerwerk, einschalig - Hochlochziegel (HLZ) | Referenz MiWo</c:v>
                  </c:pt>
                  <c:pt idx="7">
                    <c:v>5. Mauerwerk, einschalig - Mauerziegel (gefüllt) | Referenz</c:v>
                  </c:pt>
                  <c:pt idx="8">
                    <c:v>6. Mauerwerk, zweischalig - Vollziegel (VZ) | Referenz MiWo</c:v>
                  </c:pt>
                  <c:pt idx="9">
                    <c:v>7. Holzrahmenbau - Holzständerbauweise (HSB) | Referenz MiWo</c:v>
                  </c:pt>
                  <c:pt idx="10">
                    <c:v>8. Holzrahmenbau - Holzständerbauweise (HSB) | Stroh</c:v>
                  </c:pt>
                  <c:pt idx="11">
                    <c:v>9. Stampflehmwand | -</c:v>
                  </c:pt>
                  <c:pt idx="12">
                    <c:v>1. Außenwand Beton | konv. Beton</c:v>
                  </c:pt>
                  <c:pt idx="13">
                    <c:v>2. Außenwand Beton | R-Beton</c:v>
                  </c:pt>
                  <c:pt idx="14">
                    <c:v>1. Stahlbetondecke | Referenz EPS</c:v>
                  </c:pt>
                  <c:pt idx="15">
                    <c:v>2. Metalldecke | Referenz XPS</c:v>
                  </c:pt>
                  <c:pt idx="16">
                    <c:v>3. Holzdecke | Referenz MiWo</c:v>
                  </c:pt>
                  <c:pt idx="17">
                    <c:v>1. Schrägdach - Holzkonstruktion | Referenz MiWo</c:v>
                  </c:pt>
                  <c:pt idx="18">
                    <c:v>2. Flachdach - Stahlbeton | Referenz PIR</c:v>
                  </c:pt>
                  <c:pt idx="19">
                    <c:v>1. Heizung | Neu</c:v>
                  </c:pt>
                  <c:pt idx="20">
                    <c:v>2. Heizung | ReUse</c:v>
                  </c:pt>
                  <c:pt idx="21">
                    <c:v>1. Innenwand | Trockenbau</c:v>
                  </c:pt>
                </c:lvl>
                <c:lvl>
                  <c:pt idx="0">
                    <c:v>320 Gründung</c:v>
                  </c:pt>
                  <c:pt idx="2">
                    <c:v>330 Außenwände</c:v>
                  </c:pt>
                  <c:pt idx="14">
                    <c:v>350 Geschossdecken</c:v>
                  </c:pt>
                  <c:pt idx="17">
                    <c:v>360 Dach</c:v>
                  </c:pt>
                  <c:pt idx="19">
                    <c:v>Sonstige</c:v>
                  </c:pt>
                  <c:pt idx="21">
                    <c:v>340 Innenwände</c:v>
                  </c:pt>
                </c:lvl>
              </c:multiLvlStrCache>
            </c:multiLvlStrRef>
          </c:cat>
          <c:val>
            <c:numRef>
              <c:f>'Ausgabe Tabellen'!$AL$16:$AL$43</c:f>
              <c:numCache>
                <c:formatCode>0</c:formatCode>
                <c:ptCount val="22"/>
                <c:pt idx="0">
                  <c:v>0.95207840260061627</c:v>
                </c:pt>
                <c:pt idx="1">
                  <c:v>1.5930848048371726</c:v>
                </c:pt>
                <c:pt idx="2">
                  <c:v>1.8061143505640673E-2</c:v>
                </c:pt>
                <c:pt idx="3">
                  <c:v>0.24251189961664796</c:v>
                </c:pt>
                <c:pt idx="4">
                  <c:v>0.17890383603405527</c:v>
                </c:pt>
                <c:pt idx="5">
                  <c:v>0.25308587817813211</c:v>
                </c:pt>
                <c:pt idx="6">
                  <c:v>0.10462327856176579</c:v>
                </c:pt>
                <c:pt idx="7">
                  <c:v>0.15537180796834232</c:v>
                </c:pt>
                <c:pt idx="8">
                  <c:v>0.24648535118788892</c:v>
                </c:pt>
                <c:pt idx="9">
                  <c:v>1.9249895132739205E-2</c:v>
                </c:pt>
                <c:pt idx="10">
                  <c:v>3.6496645258489169E-2</c:v>
                </c:pt>
                <c:pt idx="11">
                  <c:v>0.40398509024562307</c:v>
                </c:pt>
                <c:pt idx="12">
                  <c:v>0.48772968691486829</c:v>
                </c:pt>
                <c:pt idx="13">
                  <c:v>0.96848448859228542</c:v>
                </c:pt>
                <c:pt idx="14">
                  <c:v>0.40709160692859325</c:v>
                </c:pt>
                <c:pt idx="15">
                  <c:v>2.5160814825494336E-2</c:v>
                </c:pt>
                <c:pt idx="16">
                  <c:v>0.13385606028671365</c:v>
                </c:pt>
                <c:pt idx="17">
                  <c:v>3.465112477664007E-2</c:v>
                </c:pt>
                <c:pt idx="18">
                  <c:v>0.37185595787122516</c:v>
                </c:pt>
                <c:pt idx="19">
                  <c:v>2.4628832053146373E-2</c:v>
                </c:pt>
                <c:pt idx="20">
                  <c:v>9.851532821258549E-2</c:v>
                </c:pt>
                <c:pt idx="21">
                  <c:v>7.1141202346581736E-2</c:v>
                </c:pt>
              </c:numCache>
            </c:numRef>
          </c:val>
          <c:extLst>
            <c:ext xmlns:c16="http://schemas.microsoft.com/office/drawing/2014/chart" uri="{C3380CC4-5D6E-409C-BE32-E72D297353CC}">
              <c16:uniqueId val="{00000001-530C-4E6C-BCDA-03EEC1D19859}"/>
            </c:ext>
          </c:extLst>
        </c:ser>
        <c:ser>
          <c:idx val="5"/>
          <c:order val="5"/>
          <c:tx>
            <c:strRef>
              <c:f>'Ausgabe Tabellen'!$AM$13:$AM$15</c:f>
              <c:strCache>
                <c:ptCount val="1"/>
                <c:pt idx="0">
                  <c:v>A4 -   WDP  max</c:v>
                </c:pt>
              </c:strCache>
            </c:strRef>
          </c:tx>
          <c:spPr>
            <a:solidFill>
              <a:srgbClr val="FFC000">
                <a:lumMod val="75000"/>
              </a:srgbClr>
            </a:solidFill>
            <a:ln>
              <a:noFill/>
            </a:ln>
            <a:effectLst/>
          </c:spPr>
          <c:invertIfNegative val="0"/>
          <c:cat>
            <c:multiLvlStrRef>
              <c:f>'Ausgabe Tabellen'!$AG$16:$AG$43</c:f>
              <c:multiLvlStrCache>
                <c:ptCount val="22"/>
                <c:lvl>
                  <c:pt idx="0">
                    <c:v>1. Stahlbeton-Bodenplatte | Referenz XPS</c:v>
                  </c:pt>
                  <c:pt idx="1">
                    <c:v>2. Stahlbeton (R-Beton) - Bodenplatte | Referenz XPS</c:v>
                  </c:pt>
                  <c:pt idx="2">
                    <c:v>0. Pfosten/Riegelsystem aus Aluminium | Referenz</c:v>
                  </c:pt>
                  <c:pt idx="3">
                    <c:v>1. Mauerwerk, einschalig - Kalksandstein (KS) mit Dämmung | Referenz EPS</c:v>
                  </c:pt>
                  <c:pt idx="4">
                    <c:v>2. Mauerwerk, einschalig - Kalksandstein (KS) mit Dämmung | Hanf</c:v>
                  </c:pt>
                  <c:pt idx="5">
                    <c:v>3. Mauerwerk, einschalig - Kalksandstein (KS) mit Dämmung | Zellulose</c:v>
                  </c:pt>
                  <c:pt idx="6">
                    <c:v>4. Mauerwerk, einschalig - Hochlochziegel (HLZ) | Referenz MiWo</c:v>
                  </c:pt>
                  <c:pt idx="7">
                    <c:v>5. Mauerwerk, einschalig - Mauerziegel (gefüllt) | Referenz</c:v>
                  </c:pt>
                  <c:pt idx="8">
                    <c:v>6. Mauerwerk, zweischalig - Vollziegel (VZ) | Referenz MiWo</c:v>
                  </c:pt>
                  <c:pt idx="9">
                    <c:v>7. Holzrahmenbau - Holzständerbauweise (HSB) | Referenz MiWo</c:v>
                  </c:pt>
                  <c:pt idx="10">
                    <c:v>8. Holzrahmenbau - Holzständerbauweise (HSB) | Stroh</c:v>
                  </c:pt>
                  <c:pt idx="11">
                    <c:v>9. Stampflehmwand | -</c:v>
                  </c:pt>
                  <c:pt idx="12">
                    <c:v>1. Außenwand Beton | konv. Beton</c:v>
                  </c:pt>
                  <c:pt idx="13">
                    <c:v>2. Außenwand Beton | R-Beton</c:v>
                  </c:pt>
                  <c:pt idx="14">
                    <c:v>1. Stahlbetondecke | Referenz EPS</c:v>
                  </c:pt>
                  <c:pt idx="15">
                    <c:v>2. Metalldecke | Referenz XPS</c:v>
                  </c:pt>
                  <c:pt idx="16">
                    <c:v>3. Holzdecke | Referenz MiWo</c:v>
                  </c:pt>
                  <c:pt idx="17">
                    <c:v>1. Schrägdach - Holzkonstruktion | Referenz MiWo</c:v>
                  </c:pt>
                  <c:pt idx="18">
                    <c:v>2. Flachdach - Stahlbeton | Referenz PIR</c:v>
                  </c:pt>
                  <c:pt idx="19">
                    <c:v>1. Heizung | Neu</c:v>
                  </c:pt>
                  <c:pt idx="20">
                    <c:v>2. Heizung | ReUse</c:v>
                  </c:pt>
                  <c:pt idx="21">
                    <c:v>1. Innenwand | Trockenbau</c:v>
                  </c:pt>
                </c:lvl>
                <c:lvl>
                  <c:pt idx="0">
                    <c:v>320 Gründung</c:v>
                  </c:pt>
                  <c:pt idx="2">
                    <c:v>330 Außenwände</c:v>
                  </c:pt>
                  <c:pt idx="14">
                    <c:v>350 Geschossdecken</c:v>
                  </c:pt>
                  <c:pt idx="17">
                    <c:v>360 Dach</c:v>
                  </c:pt>
                  <c:pt idx="19">
                    <c:v>Sonstige</c:v>
                  </c:pt>
                  <c:pt idx="21">
                    <c:v>340 Innenwände</c:v>
                  </c:pt>
                </c:lvl>
              </c:multiLvlStrCache>
            </c:multiLvlStrRef>
          </c:cat>
          <c:val>
            <c:numRef>
              <c:f>'Ausgabe Tabellen'!$AM$16:$AM$43</c:f>
              <c:numCache>
                <c:formatCode>0</c:formatCode>
                <c:ptCount val="22"/>
                <c:pt idx="0">
                  <c:v>0.95375973086877774</c:v>
                </c:pt>
                <c:pt idx="1">
                  <c:v>1.5947661331053342</c:v>
                </c:pt>
                <c:pt idx="2">
                  <c:v>1.8061143505640673E-2</c:v>
                </c:pt>
                <c:pt idx="3">
                  <c:v>0.24382543732614909</c:v>
                </c:pt>
                <c:pt idx="4">
                  <c:v>0.18090041335249701</c:v>
                </c:pt>
                <c:pt idx="5">
                  <c:v>0.25728919884853579</c:v>
                </c:pt>
                <c:pt idx="6">
                  <c:v>0.10705332332434291</c:v>
                </c:pt>
                <c:pt idx="7">
                  <c:v>0.15537180796834232</c:v>
                </c:pt>
                <c:pt idx="8">
                  <c:v>0.24891539595046602</c:v>
                </c:pt>
                <c:pt idx="9">
                  <c:v>2.1344987779393525E-2</c:v>
                </c:pt>
                <c:pt idx="10">
                  <c:v>4.0699965928892821E-2</c:v>
                </c:pt>
                <c:pt idx="11">
                  <c:v>0.41190572263391495</c:v>
                </c:pt>
                <c:pt idx="12">
                  <c:v>0.49015973167744542</c:v>
                </c:pt>
                <c:pt idx="13">
                  <c:v>0.97091453335486255</c:v>
                </c:pt>
                <c:pt idx="14">
                  <c:v>0.40840514463809441</c:v>
                </c:pt>
                <c:pt idx="15">
                  <c:v>2.6842143093655797E-2</c:v>
                </c:pt>
                <c:pt idx="16">
                  <c:v>0.13628610504929078</c:v>
                </c:pt>
                <c:pt idx="17">
                  <c:v>3.7002357276647108E-2</c:v>
                </c:pt>
                <c:pt idx="18">
                  <c:v>0.37343220312262659</c:v>
                </c:pt>
                <c:pt idx="19">
                  <c:v>2.4628832053146373E-2</c:v>
                </c:pt>
                <c:pt idx="20">
                  <c:v>9.851532821258549E-2</c:v>
                </c:pt>
                <c:pt idx="21">
                  <c:v>7.3571247109158841E-2</c:v>
                </c:pt>
              </c:numCache>
            </c:numRef>
          </c:val>
          <c:extLst>
            <c:ext xmlns:c16="http://schemas.microsoft.com/office/drawing/2014/chart" uri="{C3380CC4-5D6E-409C-BE32-E72D297353CC}">
              <c16:uniqueId val="{00000002-530C-4E6C-BCDA-03EEC1D19859}"/>
            </c:ext>
          </c:extLst>
        </c:ser>
        <c:dLbls>
          <c:showLegendKey val="0"/>
          <c:showVal val="0"/>
          <c:showCatName val="0"/>
          <c:showSerName val="0"/>
          <c:showPercent val="0"/>
          <c:showBubbleSize val="0"/>
        </c:dLbls>
        <c:gapWidth val="219"/>
        <c:axId val="1417204367"/>
        <c:axId val="862482223"/>
      </c:barChart>
      <c:catAx>
        <c:axId val="1417204367"/>
        <c:scaling>
          <c:orientation val="minMax"/>
        </c:scaling>
        <c:delete val="0"/>
        <c:axPos val="l"/>
        <c:numFmt formatCode="General" sourceLinked="1"/>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800" b="0" i="0" u="none" strike="noStrike" kern="1200" baseline="0">
                <a:solidFill>
                  <a:sysClr val="windowText" lastClr="000000"/>
                </a:solidFill>
                <a:latin typeface="+mn-lt"/>
                <a:ea typeface="+mn-ea"/>
                <a:cs typeface="+mn-cs"/>
              </a:defRPr>
            </a:pPr>
            <a:endParaRPr lang="de-DE"/>
          </a:p>
        </c:txPr>
        <c:crossAx val="862482223"/>
        <c:crosses val="autoZero"/>
        <c:auto val="1"/>
        <c:lblAlgn val="ctr"/>
        <c:lblOffset val="100"/>
        <c:noMultiLvlLbl val="0"/>
      </c:catAx>
      <c:valAx>
        <c:axId val="862482223"/>
        <c:scaling>
          <c:orientation val="minMax"/>
        </c:scaling>
        <c:delete val="0"/>
        <c:axPos val="b"/>
        <c:majorGridlines>
          <c:spPr>
            <a:ln w="9525" cap="flat" cmpd="sng" algn="ctr">
              <a:solidFill>
                <a:schemeClr val="tx1">
                  <a:lumMod val="15000"/>
                  <a:lumOff val="85000"/>
                </a:schemeClr>
              </a:solidFill>
              <a:round/>
            </a:ln>
            <a:effectLst/>
          </c:spPr>
        </c:majorGridlines>
        <c:numFmt formatCode="0.0" sourceLinked="0"/>
        <c:majorTickMark val="none"/>
        <c:minorTickMark val="none"/>
        <c:tickLblPos val="nextTo"/>
        <c:spPr>
          <a:noFill/>
          <a:ln>
            <a:noFill/>
          </a:ln>
          <a:effectLst/>
        </c:spPr>
        <c:txPr>
          <a:bodyPr rot="-60000000" spcFirstLastPara="1" vertOverflow="ellipsis" vert="horz" wrap="square" anchor="ctr" anchorCtr="1"/>
          <a:lstStyle/>
          <a:p>
            <a:pPr>
              <a:defRPr sz="1800" b="0" i="0" u="none" strike="noStrike" kern="1200" baseline="0">
                <a:solidFill>
                  <a:sysClr val="windowText" lastClr="000000"/>
                </a:solidFill>
                <a:latin typeface="+mn-lt"/>
                <a:ea typeface="+mn-ea"/>
                <a:cs typeface="+mn-cs"/>
              </a:defRPr>
            </a:pPr>
            <a:endParaRPr lang="de-DE"/>
          </a:p>
        </c:txPr>
        <c:crossAx val="1417204367"/>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800" b="0" i="0" u="none" strike="noStrike" kern="1200" baseline="0">
              <a:solidFill>
                <a:sysClr val="windowText" lastClr="000000"/>
              </a:solidFill>
              <a:latin typeface="+mn-lt"/>
              <a:ea typeface="+mn-ea"/>
              <a:cs typeface="+mn-cs"/>
            </a:defRPr>
          </a:pPr>
          <a:endParaRPr lang="de-DE"/>
        </a:p>
      </c:txPr>
    </c:legend>
    <c:plotVisOnly val="1"/>
    <c:dispBlanksAs val="gap"/>
    <c:showDLblsOverMax val="0"/>
    <c:extLst/>
  </c:chart>
  <c:spPr>
    <a:solidFill>
      <a:schemeClr val="bg1"/>
    </a:solidFill>
    <a:ln w="9525" cap="flat" cmpd="sng" algn="ctr">
      <a:solidFill>
        <a:schemeClr val="tx1">
          <a:lumMod val="15000"/>
          <a:lumOff val="85000"/>
        </a:schemeClr>
      </a:solidFill>
      <a:round/>
    </a:ln>
    <a:effectLst/>
  </c:spPr>
  <c:txPr>
    <a:bodyPr/>
    <a:lstStyle/>
    <a:p>
      <a:pPr>
        <a:defRPr sz="1800">
          <a:solidFill>
            <a:sysClr val="windowText" lastClr="000000"/>
          </a:solidFill>
        </a:defRPr>
      </a:pPr>
      <a:endParaRPr lang="de-DE"/>
    </a:p>
  </c:txPr>
  <c:printSettings>
    <c:headerFooter/>
    <c:pageMargins b="0.78740157499999996" l="0.7" r="0.7" t="0.78740157499999996" header="0.3" footer="0.3"/>
    <c:pageSetup orientation="landscape"/>
  </c:printSettings>
  <c:extLst/>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pivotSource>
    <c:name>[Leitlinien_LeitRix_final-revised-26.03.2025.xlsm]Ausgabe Tabellen!Pivot_PENRT</c:name>
    <c:fmtId val="20"/>
  </c:pivotSource>
  <c:chart>
    <c:title>
      <c:tx>
        <c:rich>
          <a:bodyPr rot="0" spcFirstLastPara="1" vertOverflow="ellipsis" vert="horz" wrap="square" anchor="ctr" anchorCtr="1"/>
          <a:lstStyle/>
          <a:p>
            <a:pPr>
              <a:defRPr sz="2800" b="0" i="0" u="none" strike="noStrike" kern="1200" spc="0" baseline="0">
                <a:solidFill>
                  <a:sysClr val="windowText" lastClr="000000"/>
                </a:solidFill>
                <a:latin typeface="+mn-lt"/>
                <a:ea typeface="+mn-ea"/>
                <a:cs typeface="+mn-cs"/>
              </a:defRPr>
            </a:pPr>
            <a:r>
              <a:rPr lang="de-DE"/>
              <a:t>Energie-Fußabdruck bei Variation Dämmung | +8, 0, -4 cm |PENRT [MJ/m²]</a:t>
            </a:r>
          </a:p>
        </c:rich>
      </c:tx>
      <c:overlay val="0"/>
      <c:spPr>
        <a:noFill/>
        <a:ln>
          <a:noFill/>
        </a:ln>
        <a:effectLst/>
      </c:spPr>
      <c:txPr>
        <a:bodyPr rot="0" spcFirstLastPara="1" vertOverflow="ellipsis" vert="horz" wrap="square" anchor="ctr" anchorCtr="1"/>
        <a:lstStyle/>
        <a:p>
          <a:pPr>
            <a:defRPr sz="2800" b="0" i="0" u="none" strike="noStrike" kern="1200" spc="0" baseline="0">
              <a:solidFill>
                <a:sysClr val="windowText" lastClr="000000"/>
              </a:solidFill>
              <a:latin typeface="+mn-lt"/>
              <a:ea typeface="+mn-ea"/>
              <a:cs typeface="+mn-cs"/>
            </a:defRPr>
          </a:pPr>
          <a:endParaRPr lang="de-DE"/>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6"/>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7"/>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8"/>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9"/>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2"/>
        <c:spPr>
          <a:solidFill>
            <a:srgbClr val="FF99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5"/>
        <c:spPr>
          <a:solidFill>
            <a:schemeClr val="accent1">
              <a:lumMod val="40000"/>
              <a:lumOff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6"/>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7"/>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8"/>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9"/>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0"/>
        <c:spPr>
          <a:solidFill>
            <a:schemeClr val="accent1">
              <a:lumMod val="40000"/>
              <a:lumOff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1"/>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2"/>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3"/>
        <c:spPr>
          <a:solidFill>
            <a:schemeClr val="accent1">
              <a:lumMod val="40000"/>
              <a:lumOff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4"/>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5"/>
        <c:spPr>
          <a:solidFill>
            <a:schemeClr val="accent6"/>
          </a:solidFill>
          <a:ln>
            <a:noFill/>
          </a:ln>
          <a:effectLst/>
        </c:spPr>
        <c:marker>
          <c:symbol val="none"/>
        </c:marker>
        <c:dLbl>
          <c:idx val="0"/>
          <c:spPr>
            <a:noFill/>
            <a:ln>
              <a:noFill/>
            </a:ln>
            <a:effectLst/>
          </c:spPr>
          <c:txPr>
            <a:bodyPr rot="0" spcFirstLastPara="1" vertOverflow="ellipsis" vert="horz" wrap="square" anchor="ctr" anchorCtr="1"/>
            <a:lstStyle/>
            <a:p>
              <a:pPr>
                <a:defRPr sz="12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6"/>
        <c:spPr>
          <a:solidFill>
            <a:schemeClr val="accent1">
              <a:lumMod val="40000"/>
              <a:lumOff val="60000"/>
            </a:schemeClr>
          </a:solidFill>
          <a:ln>
            <a:noFill/>
          </a:ln>
          <a:effectLst/>
        </c:spPr>
        <c:marker>
          <c:symbol val="none"/>
        </c:marker>
        <c:dLbl>
          <c:idx val="0"/>
          <c:spPr>
            <a:noFill/>
            <a:ln>
              <a:noFill/>
            </a:ln>
            <a:effectLst/>
          </c:spPr>
          <c:txPr>
            <a:bodyPr rot="0" spcFirstLastPara="1" vertOverflow="ellipsis" vert="horz" wrap="square" anchor="ctr" anchorCtr="1"/>
            <a:lstStyle/>
            <a:p>
              <a:pPr>
                <a:defRPr sz="12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7"/>
        <c:spPr>
          <a:solidFill>
            <a:srgbClr val="FFC000"/>
          </a:solidFill>
          <a:ln>
            <a:noFill/>
          </a:ln>
          <a:effectLst/>
        </c:spPr>
        <c:marker>
          <c:symbol val="none"/>
        </c:marker>
        <c:dLbl>
          <c:idx val="0"/>
          <c:spPr>
            <a:noFill/>
            <a:ln>
              <a:noFill/>
            </a:ln>
            <a:effectLst/>
          </c:spPr>
          <c:txPr>
            <a:bodyPr rot="0" spcFirstLastPara="1" vertOverflow="ellipsis" vert="horz" wrap="square" anchor="ctr" anchorCtr="1"/>
            <a:lstStyle/>
            <a:p>
              <a:pPr>
                <a:defRPr sz="12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8"/>
        <c:spPr>
          <a:solidFill>
            <a:schemeClr val="accent6"/>
          </a:solidFill>
          <a:ln>
            <a:noFill/>
          </a:ln>
          <a:effectLst/>
        </c:spPr>
        <c:marker>
          <c:symbol val="none"/>
        </c:marker>
        <c:dLbl>
          <c:idx val="0"/>
          <c:spPr>
            <a:noFill/>
            <a:ln>
              <a:noFill/>
            </a:ln>
            <a:effectLst/>
          </c:spPr>
          <c:txPr>
            <a:bodyPr rot="0" spcFirstLastPara="1" vertOverflow="ellipsis" vert="horz" wrap="square" anchor="ctr" anchorCtr="1"/>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9"/>
        <c:spPr>
          <a:solidFill>
            <a:schemeClr val="accent1">
              <a:lumMod val="40000"/>
              <a:lumOff val="60000"/>
            </a:schemeClr>
          </a:solidFill>
          <a:ln>
            <a:noFill/>
          </a:ln>
          <a:effectLst/>
        </c:spPr>
        <c:marker>
          <c:symbol val="none"/>
        </c:marker>
        <c:dLbl>
          <c:idx val="0"/>
          <c:spPr>
            <a:noFill/>
            <a:ln>
              <a:noFill/>
            </a:ln>
            <a:effectLst/>
          </c:spPr>
          <c:txPr>
            <a:bodyPr rot="0" spcFirstLastPara="1" vertOverflow="ellipsis" vert="horz" wrap="square" anchor="ctr" anchorCtr="1"/>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30"/>
        <c:spPr>
          <a:solidFill>
            <a:srgbClr val="FFC000"/>
          </a:solidFill>
          <a:ln>
            <a:noFill/>
          </a:ln>
          <a:effectLst/>
        </c:spPr>
        <c:marker>
          <c:symbol val="none"/>
        </c:marker>
        <c:dLbl>
          <c:idx val="0"/>
          <c:spPr>
            <a:noFill/>
            <a:ln>
              <a:noFill/>
            </a:ln>
            <a:effectLst/>
          </c:spPr>
          <c:txPr>
            <a:bodyPr rot="0" spcFirstLastPara="1" vertOverflow="ellipsis" vert="horz" wrap="square" anchor="ctr" anchorCtr="1"/>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31"/>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32"/>
        <c:spPr>
          <a:solidFill>
            <a:schemeClr val="accent1">
              <a:lumMod val="40000"/>
              <a:lumOff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33"/>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34"/>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35"/>
        <c:spPr>
          <a:solidFill>
            <a:schemeClr val="accent1">
              <a:lumMod val="40000"/>
              <a:lumOff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36"/>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37"/>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38"/>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39"/>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40"/>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41"/>
        <c:spPr>
          <a:solidFill>
            <a:schemeClr val="accent1">
              <a:lumMod val="40000"/>
              <a:lumOff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42"/>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43"/>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44"/>
        <c:spPr>
          <a:solidFill>
            <a:schemeClr val="accent1">
              <a:lumMod val="40000"/>
              <a:lumOff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45"/>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46"/>
        <c:spPr>
          <a:solidFill>
            <a:srgbClr val="5B9BD5">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47"/>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48"/>
        <c:spPr>
          <a:solidFill>
            <a:srgbClr val="FFC000">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49"/>
        <c:spPr>
          <a:solidFill>
            <a:srgbClr val="FFC000"/>
          </a:solidFill>
          <a:ln>
            <a:noFill/>
          </a:ln>
          <a:effectLst/>
        </c:spPr>
      </c:pivotFmt>
      <c:pivotFmt>
        <c:idx val="50"/>
        <c:spPr>
          <a:solidFill>
            <a:srgbClr val="FFC000">
              <a:lumMod val="75000"/>
            </a:srgbClr>
          </a:solidFill>
          <a:ln>
            <a:noFill/>
          </a:ln>
          <a:effectLst/>
        </c:spPr>
      </c:pivotFmt>
      <c:pivotFmt>
        <c:idx val="51"/>
        <c:spPr>
          <a:solidFill>
            <a:srgbClr val="70AD47">
              <a:lumMod val="50000"/>
            </a:srgbClr>
          </a:solidFill>
          <a:ln>
            <a:noFill/>
          </a:ln>
          <a:effectLst/>
        </c:spPr>
      </c:pivotFmt>
      <c:pivotFmt>
        <c:idx val="52"/>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53"/>
        <c:spPr>
          <a:solidFill>
            <a:srgbClr val="70AD47">
              <a:lumMod val="50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54"/>
        <c:spPr>
          <a:solidFill>
            <a:schemeClr val="accent1">
              <a:lumMod val="40000"/>
              <a:lumOff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55"/>
        <c:spPr>
          <a:solidFill>
            <a:srgbClr val="5B9BD5">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56"/>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57"/>
        <c:spPr>
          <a:solidFill>
            <a:srgbClr val="FFC000">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58"/>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59"/>
        <c:spPr>
          <a:solidFill>
            <a:srgbClr val="FFC000"/>
          </a:solidFill>
          <a:ln>
            <a:noFill/>
          </a:ln>
          <a:effectLst/>
        </c:spPr>
      </c:pivotFmt>
      <c:pivotFmt>
        <c:idx val="60"/>
      </c:pivotFmt>
      <c:pivotFmt>
        <c:idx val="61"/>
        <c:spPr>
          <a:solidFill>
            <a:srgbClr val="70AD47"/>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62"/>
        <c:spPr>
          <a:solidFill>
            <a:srgbClr val="70AD47">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63"/>
        <c:spPr>
          <a:solidFill>
            <a:srgbClr val="4472C4">
              <a:lumMod val="40000"/>
              <a:lumOff val="60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64"/>
        <c:spPr>
          <a:solidFill>
            <a:srgbClr val="5B9BD5">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65"/>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66"/>
        <c:spPr>
          <a:solidFill>
            <a:srgbClr val="FFC000">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67"/>
        <c:spPr>
          <a:solidFill>
            <a:srgbClr val="70AD47"/>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68"/>
        <c:spPr>
          <a:solidFill>
            <a:srgbClr val="70AD47">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69"/>
        <c:spPr>
          <a:solidFill>
            <a:srgbClr val="4472C4">
              <a:lumMod val="40000"/>
              <a:lumOff val="60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70"/>
        <c:spPr>
          <a:solidFill>
            <a:srgbClr val="5B9BD5">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71"/>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72"/>
        <c:spPr>
          <a:solidFill>
            <a:srgbClr val="FFC000">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73"/>
        <c:spPr>
          <a:solidFill>
            <a:srgbClr val="70AD47"/>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74"/>
        <c:spPr>
          <a:solidFill>
            <a:srgbClr val="4472C4">
              <a:lumMod val="40000"/>
              <a:lumOff val="60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75"/>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76"/>
        <c:spPr>
          <a:solidFill>
            <a:srgbClr val="70AD47">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77"/>
        <c:spPr>
          <a:solidFill>
            <a:srgbClr val="5B9BD5"/>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78"/>
        <c:spPr>
          <a:solidFill>
            <a:srgbClr val="FFC000">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79"/>
        <c:spPr>
          <a:solidFill>
            <a:srgbClr val="70AD47"/>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80"/>
        <c:spPr>
          <a:solidFill>
            <a:srgbClr val="4472C4">
              <a:lumMod val="40000"/>
              <a:lumOff val="60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81"/>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82"/>
        <c:spPr>
          <a:solidFill>
            <a:srgbClr val="70AD47">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83"/>
        <c:spPr>
          <a:solidFill>
            <a:srgbClr val="5B9BD5"/>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84"/>
        <c:spPr>
          <a:solidFill>
            <a:srgbClr val="FFC000">
              <a:lumMod val="75000"/>
            </a:srgb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0.44628537930092804"/>
          <c:y val="8.6735975807670257E-2"/>
          <c:w val="0.52960720016805685"/>
          <c:h val="0.79120168037304672"/>
        </c:manualLayout>
      </c:layout>
      <c:barChart>
        <c:barDir val="bar"/>
        <c:grouping val="clustered"/>
        <c:varyColors val="0"/>
        <c:ser>
          <c:idx val="0"/>
          <c:order val="0"/>
          <c:tx>
            <c:strRef>
              <c:f>'Ausgabe Tabellen'!$AR$13:$AR$15</c:f>
              <c:strCache>
                <c:ptCount val="1"/>
                <c:pt idx="0">
                  <c:v>A1-A3 -   PENRT  min</c:v>
                </c:pt>
              </c:strCache>
            </c:strRef>
          </c:tx>
          <c:spPr>
            <a:solidFill>
              <a:srgbClr val="70AD47"/>
            </a:solidFill>
            <a:ln>
              <a:noFill/>
            </a:ln>
            <a:effectLst/>
          </c:spPr>
          <c:invertIfNegative val="0"/>
          <c:cat>
            <c:multiLvlStrRef>
              <c:f>'Ausgabe Tabellen'!$AQ$16:$AQ$43</c:f>
              <c:multiLvlStrCache>
                <c:ptCount val="22"/>
                <c:lvl>
                  <c:pt idx="0">
                    <c:v>1. Stahlbeton-Bodenplatte | Referenz XPS</c:v>
                  </c:pt>
                  <c:pt idx="1">
                    <c:v>2. Stahlbeton (R-Beton) - Bodenplatte | Referenz XPS</c:v>
                  </c:pt>
                  <c:pt idx="2">
                    <c:v>0. Pfosten/Riegelsystem aus Aluminium | Referenz</c:v>
                  </c:pt>
                  <c:pt idx="3">
                    <c:v>1. Mauerwerk, einschalig - Kalksandstein (KS) mit Dämmung | Referenz EPS</c:v>
                  </c:pt>
                  <c:pt idx="4">
                    <c:v>2. Mauerwerk, einschalig - Kalksandstein (KS) mit Dämmung | Hanf</c:v>
                  </c:pt>
                  <c:pt idx="5">
                    <c:v>3. Mauerwerk, einschalig - Kalksandstein (KS) mit Dämmung | Zellulose</c:v>
                  </c:pt>
                  <c:pt idx="6">
                    <c:v>4. Mauerwerk, einschalig - Hochlochziegel (HLZ) | Referenz MiWo</c:v>
                  </c:pt>
                  <c:pt idx="7">
                    <c:v>5. Mauerwerk, einschalig - Mauerziegel (gefüllt) | Referenz</c:v>
                  </c:pt>
                  <c:pt idx="8">
                    <c:v>6. Mauerwerk, zweischalig - Vollziegel (VZ) | Referenz MiWo</c:v>
                  </c:pt>
                  <c:pt idx="9">
                    <c:v>7. Holzrahmenbau - Holzständerbauweise (HSB) | Referenz MiWo</c:v>
                  </c:pt>
                  <c:pt idx="10">
                    <c:v>8. Holzrahmenbau - Holzständerbauweise (HSB) | Stroh</c:v>
                  </c:pt>
                  <c:pt idx="11">
                    <c:v>9. Stampflehmwand | -</c:v>
                  </c:pt>
                  <c:pt idx="12">
                    <c:v>1. Außenwand Beton | konv. Beton</c:v>
                  </c:pt>
                  <c:pt idx="13">
                    <c:v>2. Außenwand Beton | R-Beton</c:v>
                  </c:pt>
                  <c:pt idx="14">
                    <c:v>1. Stahlbetondecke | Referenz EPS</c:v>
                  </c:pt>
                  <c:pt idx="15">
                    <c:v>2. Metalldecke | Referenz XPS</c:v>
                  </c:pt>
                  <c:pt idx="16">
                    <c:v>3. Holzdecke | Referenz MiWo</c:v>
                  </c:pt>
                  <c:pt idx="17">
                    <c:v>1. Schrägdach - Holzkonstruktion | Referenz MiWo</c:v>
                  </c:pt>
                  <c:pt idx="18">
                    <c:v>2. Flachdach - Stahlbeton | Referenz PIR</c:v>
                  </c:pt>
                  <c:pt idx="19">
                    <c:v>1. Heizung | Neu</c:v>
                  </c:pt>
                  <c:pt idx="20">
                    <c:v>2. Heizung | ReUse</c:v>
                  </c:pt>
                  <c:pt idx="21">
                    <c:v>1. Innenwand | Trockenbau</c:v>
                  </c:pt>
                </c:lvl>
                <c:lvl>
                  <c:pt idx="0">
                    <c:v>320 Gründung</c:v>
                  </c:pt>
                  <c:pt idx="2">
                    <c:v>330 Außenwände</c:v>
                  </c:pt>
                  <c:pt idx="14">
                    <c:v>350 Geschossdecken</c:v>
                  </c:pt>
                  <c:pt idx="17">
                    <c:v>360 Dach</c:v>
                  </c:pt>
                  <c:pt idx="19">
                    <c:v>Sonstige</c:v>
                  </c:pt>
                  <c:pt idx="21">
                    <c:v>340 Innenwände</c:v>
                  </c:pt>
                </c:lvl>
              </c:multiLvlStrCache>
            </c:multiLvlStrRef>
          </c:cat>
          <c:val>
            <c:numRef>
              <c:f>'Ausgabe Tabellen'!$AR$16:$AR$43</c:f>
              <c:numCache>
                <c:formatCode>0</c:formatCode>
                <c:ptCount val="22"/>
                <c:pt idx="0">
                  <c:v>2371.0509076488347</c:v>
                </c:pt>
                <c:pt idx="1">
                  <c:v>2285.983322755445</c:v>
                </c:pt>
                <c:pt idx="2">
                  <c:v>2521.3432366550078</c:v>
                </c:pt>
                <c:pt idx="3">
                  <c:v>649.73050325732845</c:v>
                </c:pt>
                <c:pt idx="4">
                  <c:v>443.29380906201163</c:v>
                </c:pt>
                <c:pt idx="5">
                  <c:v>535.66909011741745</c:v>
                </c:pt>
                <c:pt idx="6">
                  <c:v>475.36533205701045</c:v>
                </c:pt>
                <c:pt idx="7">
                  <c:v>1359.0659213915326</c:v>
                </c:pt>
                <c:pt idx="8">
                  <c:v>1314.0448682788231</c:v>
                </c:pt>
                <c:pt idx="9">
                  <c:v>194.68915852853792</c:v>
                </c:pt>
                <c:pt idx="10">
                  <c:v>188.30304969085984</c:v>
                </c:pt>
                <c:pt idx="11">
                  <c:v>387.54805384825426</c:v>
                </c:pt>
                <c:pt idx="12">
                  <c:v>1444.4206823584591</c:v>
                </c:pt>
                <c:pt idx="13">
                  <c:v>1380.6199936884166</c:v>
                </c:pt>
                <c:pt idx="14">
                  <c:v>1290.2464095764772</c:v>
                </c:pt>
                <c:pt idx="15">
                  <c:v>669.60542804309569</c:v>
                </c:pt>
                <c:pt idx="16">
                  <c:v>524.62378761809316</c:v>
                </c:pt>
                <c:pt idx="17">
                  <c:v>291.49470098168257</c:v>
                </c:pt>
                <c:pt idx="18">
                  <c:v>1439.3146920851091</c:v>
                </c:pt>
                <c:pt idx="19">
                  <c:v>2268.8821976397385</c:v>
                </c:pt>
                <c:pt idx="20">
                  <c:v>0</c:v>
                </c:pt>
                <c:pt idx="21">
                  <c:v>458.74227558597102</c:v>
                </c:pt>
              </c:numCache>
            </c:numRef>
          </c:val>
          <c:extLst>
            <c:ext xmlns:c16="http://schemas.microsoft.com/office/drawing/2014/chart" uri="{C3380CC4-5D6E-409C-BE32-E72D297353CC}">
              <c16:uniqueId val="{00000003-A223-4200-AE1E-E4D48FED6138}"/>
            </c:ext>
          </c:extLst>
        </c:ser>
        <c:ser>
          <c:idx val="1"/>
          <c:order val="1"/>
          <c:tx>
            <c:strRef>
              <c:f>'Ausgabe Tabellen'!$AS$13:$AS$15</c:f>
              <c:strCache>
                <c:ptCount val="1"/>
                <c:pt idx="0">
                  <c:v>A1-A3 -   PENRT Referenz</c:v>
                </c:pt>
              </c:strCache>
            </c:strRef>
          </c:tx>
          <c:spPr>
            <a:solidFill>
              <a:srgbClr val="4472C4">
                <a:lumMod val="40000"/>
                <a:lumOff val="60000"/>
              </a:srgbClr>
            </a:solidFill>
            <a:ln>
              <a:noFill/>
            </a:ln>
            <a:effectLst/>
          </c:spPr>
          <c:invertIfNegative val="0"/>
          <c:cat>
            <c:multiLvlStrRef>
              <c:f>'Ausgabe Tabellen'!$AQ$16:$AQ$43</c:f>
              <c:multiLvlStrCache>
                <c:ptCount val="22"/>
                <c:lvl>
                  <c:pt idx="0">
                    <c:v>1. Stahlbeton-Bodenplatte | Referenz XPS</c:v>
                  </c:pt>
                  <c:pt idx="1">
                    <c:v>2. Stahlbeton (R-Beton) - Bodenplatte | Referenz XPS</c:v>
                  </c:pt>
                  <c:pt idx="2">
                    <c:v>0. Pfosten/Riegelsystem aus Aluminium | Referenz</c:v>
                  </c:pt>
                  <c:pt idx="3">
                    <c:v>1. Mauerwerk, einschalig - Kalksandstein (KS) mit Dämmung | Referenz EPS</c:v>
                  </c:pt>
                  <c:pt idx="4">
                    <c:v>2. Mauerwerk, einschalig - Kalksandstein (KS) mit Dämmung | Hanf</c:v>
                  </c:pt>
                  <c:pt idx="5">
                    <c:v>3. Mauerwerk, einschalig - Kalksandstein (KS) mit Dämmung | Zellulose</c:v>
                  </c:pt>
                  <c:pt idx="6">
                    <c:v>4. Mauerwerk, einschalig - Hochlochziegel (HLZ) | Referenz MiWo</c:v>
                  </c:pt>
                  <c:pt idx="7">
                    <c:v>5. Mauerwerk, einschalig - Mauerziegel (gefüllt) | Referenz</c:v>
                  </c:pt>
                  <c:pt idx="8">
                    <c:v>6. Mauerwerk, zweischalig - Vollziegel (VZ) | Referenz MiWo</c:v>
                  </c:pt>
                  <c:pt idx="9">
                    <c:v>7. Holzrahmenbau - Holzständerbauweise (HSB) | Referenz MiWo</c:v>
                  </c:pt>
                  <c:pt idx="10">
                    <c:v>8. Holzrahmenbau - Holzständerbauweise (HSB) | Stroh</c:v>
                  </c:pt>
                  <c:pt idx="11">
                    <c:v>9. Stampflehmwand | -</c:v>
                  </c:pt>
                  <c:pt idx="12">
                    <c:v>1. Außenwand Beton | konv. Beton</c:v>
                  </c:pt>
                  <c:pt idx="13">
                    <c:v>2. Außenwand Beton | R-Beton</c:v>
                  </c:pt>
                  <c:pt idx="14">
                    <c:v>1. Stahlbetondecke | Referenz EPS</c:v>
                  </c:pt>
                  <c:pt idx="15">
                    <c:v>2. Metalldecke | Referenz XPS</c:v>
                  </c:pt>
                  <c:pt idx="16">
                    <c:v>3. Holzdecke | Referenz MiWo</c:v>
                  </c:pt>
                  <c:pt idx="17">
                    <c:v>1. Schrägdach - Holzkonstruktion | Referenz MiWo</c:v>
                  </c:pt>
                  <c:pt idx="18">
                    <c:v>2. Flachdach - Stahlbeton | Referenz PIR</c:v>
                  </c:pt>
                  <c:pt idx="19">
                    <c:v>1. Heizung | Neu</c:v>
                  </c:pt>
                  <c:pt idx="20">
                    <c:v>2. Heizung | ReUse</c:v>
                  </c:pt>
                  <c:pt idx="21">
                    <c:v>1. Innenwand | Trockenbau</c:v>
                  </c:pt>
                </c:lvl>
                <c:lvl>
                  <c:pt idx="0">
                    <c:v>320 Gründung</c:v>
                  </c:pt>
                  <c:pt idx="2">
                    <c:v>330 Außenwände</c:v>
                  </c:pt>
                  <c:pt idx="14">
                    <c:v>350 Geschossdecken</c:v>
                  </c:pt>
                  <c:pt idx="17">
                    <c:v>360 Dach</c:v>
                  </c:pt>
                  <c:pt idx="19">
                    <c:v>Sonstige</c:v>
                  </c:pt>
                  <c:pt idx="21">
                    <c:v>340 Innenwände</c:v>
                  </c:pt>
                </c:lvl>
              </c:multiLvlStrCache>
            </c:multiLvlStrRef>
          </c:cat>
          <c:val>
            <c:numRef>
              <c:f>'Ausgabe Tabellen'!$AS$16:$AS$43</c:f>
              <c:numCache>
                <c:formatCode>0</c:formatCode>
                <c:ptCount val="22"/>
                <c:pt idx="0">
                  <c:v>2491.8133803731121</c:v>
                </c:pt>
                <c:pt idx="1">
                  <c:v>2406.7457954797219</c:v>
                </c:pt>
                <c:pt idx="2">
                  <c:v>2521.3432366550078</c:v>
                </c:pt>
                <c:pt idx="3">
                  <c:v>735.94725581430362</c:v>
                </c:pt>
                <c:pt idx="4">
                  <c:v>472.48933704607816</c:v>
                </c:pt>
                <c:pt idx="5">
                  <c:v>567.12882878522203</c:v>
                </c:pt>
                <c:pt idx="6">
                  <c:v>514.72311911348527</c:v>
                </c:pt>
                <c:pt idx="7">
                  <c:v>1359.0659213915326</c:v>
                </c:pt>
                <c:pt idx="8">
                  <c:v>1353.4026553352978</c:v>
                </c:pt>
                <c:pt idx="9">
                  <c:v>228.53685539710631</c:v>
                </c:pt>
                <c:pt idx="10">
                  <c:v>191.5436677382192</c:v>
                </c:pt>
                <c:pt idx="11">
                  <c:v>483.82934098563629</c:v>
                </c:pt>
                <c:pt idx="12">
                  <c:v>1483.7784694149341</c:v>
                </c:pt>
                <c:pt idx="13">
                  <c:v>1419.9777807448913</c:v>
                </c:pt>
                <c:pt idx="14">
                  <c:v>1376.4631621334522</c:v>
                </c:pt>
                <c:pt idx="15">
                  <c:v>790.36790076737293</c:v>
                </c:pt>
                <c:pt idx="16">
                  <c:v>563.98157467456804</c:v>
                </c:pt>
                <c:pt idx="17">
                  <c:v>329.54056180294157</c:v>
                </c:pt>
                <c:pt idx="18">
                  <c:v>1526.371747525109</c:v>
                </c:pt>
                <c:pt idx="19">
                  <c:v>2268.8821976397385</c:v>
                </c:pt>
                <c:pt idx="20">
                  <c:v>0</c:v>
                </c:pt>
                <c:pt idx="21">
                  <c:v>498.10006264244583</c:v>
                </c:pt>
              </c:numCache>
            </c:numRef>
          </c:val>
          <c:extLst>
            <c:ext xmlns:c16="http://schemas.microsoft.com/office/drawing/2014/chart" uri="{C3380CC4-5D6E-409C-BE32-E72D297353CC}">
              <c16:uniqueId val="{00000004-A223-4200-AE1E-E4D48FED6138}"/>
            </c:ext>
          </c:extLst>
        </c:ser>
        <c:ser>
          <c:idx val="2"/>
          <c:order val="2"/>
          <c:tx>
            <c:strRef>
              <c:f>'Ausgabe Tabellen'!$AT$13:$AT$15</c:f>
              <c:strCache>
                <c:ptCount val="1"/>
                <c:pt idx="0">
                  <c:v>A1-A3 -   PENRT max</c:v>
                </c:pt>
              </c:strCache>
            </c:strRef>
          </c:tx>
          <c:spPr>
            <a:solidFill>
              <a:srgbClr val="FFC000"/>
            </a:solidFill>
            <a:ln>
              <a:noFill/>
            </a:ln>
            <a:effectLst/>
          </c:spPr>
          <c:invertIfNegative val="0"/>
          <c:cat>
            <c:multiLvlStrRef>
              <c:f>'Ausgabe Tabellen'!$AQ$16:$AQ$43</c:f>
              <c:multiLvlStrCache>
                <c:ptCount val="22"/>
                <c:lvl>
                  <c:pt idx="0">
                    <c:v>1. Stahlbeton-Bodenplatte | Referenz XPS</c:v>
                  </c:pt>
                  <c:pt idx="1">
                    <c:v>2. Stahlbeton (R-Beton) - Bodenplatte | Referenz XPS</c:v>
                  </c:pt>
                  <c:pt idx="2">
                    <c:v>0. Pfosten/Riegelsystem aus Aluminium | Referenz</c:v>
                  </c:pt>
                  <c:pt idx="3">
                    <c:v>1. Mauerwerk, einschalig - Kalksandstein (KS) mit Dämmung | Referenz EPS</c:v>
                  </c:pt>
                  <c:pt idx="4">
                    <c:v>2. Mauerwerk, einschalig - Kalksandstein (KS) mit Dämmung | Hanf</c:v>
                  </c:pt>
                  <c:pt idx="5">
                    <c:v>3. Mauerwerk, einschalig - Kalksandstein (KS) mit Dämmung | Zellulose</c:v>
                  </c:pt>
                  <c:pt idx="6">
                    <c:v>4. Mauerwerk, einschalig - Hochlochziegel (HLZ) | Referenz MiWo</c:v>
                  </c:pt>
                  <c:pt idx="7">
                    <c:v>5. Mauerwerk, einschalig - Mauerziegel (gefüllt) | Referenz</c:v>
                  </c:pt>
                  <c:pt idx="8">
                    <c:v>6. Mauerwerk, zweischalig - Vollziegel (VZ) | Referenz MiWo</c:v>
                  </c:pt>
                  <c:pt idx="9">
                    <c:v>7. Holzrahmenbau - Holzständerbauweise (HSB) | Referenz MiWo</c:v>
                  </c:pt>
                  <c:pt idx="10">
                    <c:v>8. Holzrahmenbau - Holzständerbauweise (HSB) | Stroh</c:v>
                  </c:pt>
                  <c:pt idx="11">
                    <c:v>9. Stampflehmwand | -</c:v>
                  </c:pt>
                  <c:pt idx="12">
                    <c:v>1. Außenwand Beton | konv. Beton</c:v>
                  </c:pt>
                  <c:pt idx="13">
                    <c:v>2. Außenwand Beton | R-Beton</c:v>
                  </c:pt>
                  <c:pt idx="14">
                    <c:v>1. Stahlbetondecke | Referenz EPS</c:v>
                  </c:pt>
                  <c:pt idx="15">
                    <c:v>2. Metalldecke | Referenz XPS</c:v>
                  </c:pt>
                  <c:pt idx="16">
                    <c:v>3. Holzdecke | Referenz MiWo</c:v>
                  </c:pt>
                  <c:pt idx="17">
                    <c:v>1. Schrägdach - Holzkonstruktion | Referenz MiWo</c:v>
                  </c:pt>
                  <c:pt idx="18">
                    <c:v>2. Flachdach - Stahlbeton | Referenz PIR</c:v>
                  </c:pt>
                  <c:pt idx="19">
                    <c:v>1. Heizung | Neu</c:v>
                  </c:pt>
                  <c:pt idx="20">
                    <c:v>2. Heizung | ReUse</c:v>
                  </c:pt>
                  <c:pt idx="21">
                    <c:v>1. Innenwand | Trockenbau</c:v>
                  </c:pt>
                </c:lvl>
                <c:lvl>
                  <c:pt idx="0">
                    <c:v>320 Gründung</c:v>
                  </c:pt>
                  <c:pt idx="2">
                    <c:v>330 Außenwände</c:v>
                  </c:pt>
                  <c:pt idx="14">
                    <c:v>350 Geschossdecken</c:v>
                  </c:pt>
                  <c:pt idx="17">
                    <c:v>360 Dach</c:v>
                  </c:pt>
                  <c:pt idx="19">
                    <c:v>Sonstige</c:v>
                  </c:pt>
                  <c:pt idx="21">
                    <c:v>340 Innenwände</c:v>
                  </c:pt>
                </c:lvl>
              </c:multiLvlStrCache>
            </c:multiLvlStrRef>
          </c:cat>
          <c:val>
            <c:numRef>
              <c:f>'Ausgabe Tabellen'!$AT$16:$AT$43</c:f>
              <c:numCache>
                <c:formatCode>0</c:formatCode>
                <c:ptCount val="22"/>
                <c:pt idx="0">
                  <c:v>2733.3383258216668</c:v>
                </c:pt>
                <c:pt idx="1">
                  <c:v>2648.2707409282766</c:v>
                </c:pt>
                <c:pt idx="2">
                  <c:v>2521.3432366550078</c:v>
                </c:pt>
                <c:pt idx="3">
                  <c:v>908.38076092825372</c:v>
                </c:pt>
                <c:pt idx="4">
                  <c:v>530.88039301421134</c:v>
                </c:pt>
                <c:pt idx="5">
                  <c:v>630.04830612083117</c:v>
                </c:pt>
                <c:pt idx="6">
                  <c:v>593.43869322643502</c:v>
                </c:pt>
                <c:pt idx="7">
                  <c:v>1359.0659213915326</c:v>
                </c:pt>
                <c:pt idx="8">
                  <c:v>1432.1182294482478</c:v>
                </c:pt>
                <c:pt idx="9">
                  <c:v>296.23224913424303</c:v>
                </c:pt>
                <c:pt idx="10">
                  <c:v>198.02490383293798</c:v>
                </c:pt>
                <c:pt idx="11">
                  <c:v>676.39191526040008</c:v>
                </c:pt>
                <c:pt idx="12">
                  <c:v>1562.4940435278836</c:v>
                </c:pt>
                <c:pt idx="13">
                  <c:v>1498.6933548578411</c:v>
                </c:pt>
                <c:pt idx="14">
                  <c:v>1548.8966672474025</c:v>
                </c:pt>
                <c:pt idx="15">
                  <c:v>1031.8928462159274</c:v>
                </c:pt>
                <c:pt idx="16">
                  <c:v>642.69714878751779</c:v>
                </c:pt>
                <c:pt idx="17">
                  <c:v>405.63228344545962</c:v>
                </c:pt>
                <c:pt idx="18">
                  <c:v>1700.485858405109</c:v>
                </c:pt>
                <c:pt idx="19">
                  <c:v>2268.8821976397385</c:v>
                </c:pt>
                <c:pt idx="20">
                  <c:v>0</c:v>
                </c:pt>
                <c:pt idx="21">
                  <c:v>576.81563675539553</c:v>
                </c:pt>
              </c:numCache>
            </c:numRef>
          </c:val>
          <c:extLst>
            <c:ext xmlns:c16="http://schemas.microsoft.com/office/drawing/2014/chart" uri="{C3380CC4-5D6E-409C-BE32-E72D297353CC}">
              <c16:uniqueId val="{00000005-A223-4200-AE1E-E4D48FED6138}"/>
            </c:ext>
          </c:extLst>
        </c:ser>
        <c:ser>
          <c:idx val="3"/>
          <c:order val="3"/>
          <c:tx>
            <c:strRef>
              <c:f>'Ausgabe Tabellen'!$AU$13:$AU$15</c:f>
              <c:strCache>
                <c:ptCount val="1"/>
                <c:pt idx="0">
                  <c:v>A4 -   PENRT  min</c:v>
                </c:pt>
              </c:strCache>
            </c:strRef>
          </c:tx>
          <c:spPr>
            <a:solidFill>
              <a:srgbClr val="70AD47">
                <a:lumMod val="75000"/>
              </a:srgbClr>
            </a:solidFill>
            <a:ln>
              <a:noFill/>
            </a:ln>
            <a:effectLst/>
          </c:spPr>
          <c:invertIfNegative val="0"/>
          <c:cat>
            <c:multiLvlStrRef>
              <c:f>'Ausgabe Tabellen'!$AQ$16:$AQ$43</c:f>
              <c:multiLvlStrCache>
                <c:ptCount val="22"/>
                <c:lvl>
                  <c:pt idx="0">
                    <c:v>1. Stahlbeton-Bodenplatte | Referenz XPS</c:v>
                  </c:pt>
                  <c:pt idx="1">
                    <c:v>2. Stahlbeton (R-Beton) - Bodenplatte | Referenz XPS</c:v>
                  </c:pt>
                  <c:pt idx="2">
                    <c:v>0. Pfosten/Riegelsystem aus Aluminium | Referenz</c:v>
                  </c:pt>
                  <c:pt idx="3">
                    <c:v>1. Mauerwerk, einschalig - Kalksandstein (KS) mit Dämmung | Referenz EPS</c:v>
                  </c:pt>
                  <c:pt idx="4">
                    <c:v>2. Mauerwerk, einschalig - Kalksandstein (KS) mit Dämmung | Hanf</c:v>
                  </c:pt>
                  <c:pt idx="5">
                    <c:v>3. Mauerwerk, einschalig - Kalksandstein (KS) mit Dämmung | Zellulose</c:v>
                  </c:pt>
                  <c:pt idx="6">
                    <c:v>4. Mauerwerk, einschalig - Hochlochziegel (HLZ) | Referenz MiWo</c:v>
                  </c:pt>
                  <c:pt idx="7">
                    <c:v>5. Mauerwerk, einschalig - Mauerziegel (gefüllt) | Referenz</c:v>
                  </c:pt>
                  <c:pt idx="8">
                    <c:v>6. Mauerwerk, zweischalig - Vollziegel (VZ) | Referenz MiWo</c:v>
                  </c:pt>
                  <c:pt idx="9">
                    <c:v>7. Holzrahmenbau - Holzständerbauweise (HSB) | Referenz MiWo</c:v>
                  </c:pt>
                  <c:pt idx="10">
                    <c:v>8. Holzrahmenbau - Holzständerbauweise (HSB) | Stroh</c:v>
                  </c:pt>
                  <c:pt idx="11">
                    <c:v>9. Stampflehmwand | -</c:v>
                  </c:pt>
                  <c:pt idx="12">
                    <c:v>1. Außenwand Beton | konv. Beton</c:v>
                  </c:pt>
                  <c:pt idx="13">
                    <c:v>2. Außenwand Beton | R-Beton</c:v>
                  </c:pt>
                  <c:pt idx="14">
                    <c:v>1. Stahlbetondecke | Referenz EPS</c:v>
                  </c:pt>
                  <c:pt idx="15">
                    <c:v>2. Metalldecke | Referenz XPS</c:v>
                  </c:pt>
                  <c:pt idx="16">
                    <c:v>3. Holzdecke | Referenz MiWo</c:v>
                  </c:pt>
                  <c:pt idx="17">
                    <c:v>1. Schrägdach - Holzkonstruktion | Referenz MiWo</c:v>
                  </c:pt>
                  <c:pt idx="18">
                    <c:v>2. Flachdach - Stahlbeton | Referenz PIR</c:v>
                  </c:pt>
                  <c:pt idx="19">
                    <c:v>1. Heizung | Neu</c:v>
                  </c:pt>
                  <c:pt idx="20">
                    <c:v>2. Heizung | ReUse</c:v>
                  </c:pt>
                  <c:pt idx="21">
                    <c:v>1. Innenwand | Trockenbau</c:v>
                  </c:pt>
                </c:lvl>
                <c:lvl>
                  <c:pt idx="0">
                    <c:v>320 Gründung</c:v>
                  </c:pt>
                  <c:pt idx="2">
                    <c:v>330 Außenwände</c:v>
                  </c:pt>
                  <c:pt idx="14">
                    <c:v>350 Geschossdecken</c:v>
                  </c:pt>
                  <c:pt idx="17">
                    <c:v>360 Dach</c:v>
                  </c:pt>
                  <c:pt idx="19">
                    <c:v>Sonstige</c:v>
                  </c:pt>
                  <c:pt idx="21">
                    <c:v>340 Innenwände</c:v>
                  </c:pt>
                </c:lvl>
              </c:multiLvlStrCache>
            </c:multiLvlStrRef>
          </c:cat>
          <c:val>
            <c:numRef>
              <c:f>'Ausgabe Tabellen'!$AU$16:$AU$43</c:f>
              <c:numCache>
                <c:formatCode>0</c:formatCode>
                <c:ptCount val="22"/>
                <c:pt idx="0">
                  <c:v>87.466815827543996</c:v>
                </c:pt>
                <c:pt idx="1">
                  <c:v>146.40769533794398</c:v>
                </c:pt>
                <c:pt idx="2">
                  <c:v>1.6607317484999997</c:v>
                </c:pt>
                <c:pt idx="3">
                  <c:v>22.238707868550001</c:v>
                </c:pt>
                <c:pt idx="4">
                  <c:v>16.358509673951996</c:v>
                </c:pt>
                <c:pt idx="5">
                  <c:v>23.078132279609999</c:v>
                </c:pt>
                <c:pt idx="6">
                  <c:v>9.5084441382299989</c:v>
                </c:pt>
                <c:pt idx="7">
                  <c:v>14.286520354277998</c:v>
                </c:pt>
                <c:pt idx="8">
                  <c:v>22.552737144629994</c:v>
                </c:pt>
                <c:pt idx="9">
                  <c:v>1.674017602488</c:v>
                </c:pt>
                <c:pt idx="10">
                  <c:v>3.1626371515980001</c:v>
                </c:pt>
                <c:pt idx="11">
                  <c:v>36.782490668232001</c:v>
                </c:pt>
                <c:pt idx="12">
                  <c:v>44.735885987411997</c:v>
                </c:pt>
                <c:pt idx="13">
                  <c:v>88.941545620211997</c:v>
                </c:pt>
                <c:pt idx="14">
                  <c:v>37.371899463335993</c:v>
                </c:pt>
                <c:pt idx="15">
                  <c:v>2.2362507871619997</c:v>
                </c:pt>
                <c:pt idx="16">
                  <c:v>12.196413960983998</c:v>
                </c:pt>
                <c:pt idx="17">
                  <c:v>3.0786947104919999</c:v>
                </c:pt>
                <c:pt idx="18">
                  <c:v>34.119884748545999</c:v>
                </c:pt>
                <c:pt idx="19">
                  <c:v>2.2646342024999999</c:v>
                </c:pt>
                <c:pt idx="20">
                  <c:v>9.0585368099999997</c:v>
                </c:pt>
                <c:pt idx="21">
                  <c:v>6.4303533301920002</c:v>
                </c:pt>
              </c:numCache>
            </c:numRef>
          </c:val>
          <c:extLst>
            <c:ext xmlns:c16="http://schemas.microsoft.com/office/drawing/2014/chart" uri="{C3380CC4-5D6E-409C-BE32-E72D297353CC}">
              <c16:uniqueId val="{00000000-1EC7-402A-9D52-B35DD0CEF1AB}"/>
            </c:ext>
          </c:extLst>
        </c:ser>
        <c:ser>
          <c:idx val="4"/>
          <c:order val="4"/>
          <c:tx>
            <c:strRef>
              <c:f>'Ausgabe Tabellen'!$AV$13:$AV$15</c:f>
              <c:strCache>
                <c:ptCount val="1"/>
                <c:pt idx="0">
                  <c:v>A4 -   PENRT Referenz</c:v>
                </c:pt>
              </c:strCache>
            </c:strRef>
          </c:tx>
          <c:spPr>
            <a:solidFill>
              <a:srgbClr val="5B9BD5"/>
            </a:solidFill>
            <a:ln>
              <a:noFill/>
            </a:ln>
            <a:effectLst/>
          </c:spPr>
          <c:invertIfNegative val="0"/>
          <c:cat>
            <c:multiLvlStrRef>
              <c:f>'Ausgabe Tabellen'!$AQ$16:$AQ$43</c:f>
              <c:multiLvlStrCache>
                <c:ptCount val="22"/>
                <c:lvl>
                  <c:pt idx="0">
                    <c:v>1. Stahlbeton-Bodenplatte | Referenz XPS</c:v>
                  </c:pt>
                  <c:pt idx="1">
                    <c:v>2. Stahlbeton (R-Beton) - Bodenplatte | Referenz XPS</c:v>
                  </c:pt>
                  <c:pt idx="2">
                    <c:v>0. Pfosten/Riegelsystem aus Aluminium | Referenz</c:v>
                  </c:pt>
                  <c:pt idx="3">
                    <c:v>1. Mauerwerk, einschalig - Kalksandstein (KS) mit Dämmung | Referenz EPS</c:v>
                  </c:pt>
                  <c:pt idx="4">
                    <c:v>2. Mauerwerk, einschalig - Kalksandstein (KS) mit Dämmung | Hanf</c:v>
                  </c:pt>
                  <c:pt idx="5">
                    <c:v>3. Mauerwerk, einschalig - Kalksandstein (KS) mit Dämmung | Zellulose</c:v>
                  </c:pt>
                  <c:pt idx="6">
                    <c:v>4. Mauerwerk, einschalig - Hochlochziegel (HLZ) | Referenz MiWo</c:v>
                  </c:pt>
                  <c:pt idx="7">
                    <c:v>5. Mauerwerk, einschalig - Mauerziegel (gefüllt) | Referenz</c:v>
                  </c:pt>
                  <c:pt idx="8">
                    <c:v>6. Mauerwerk, zweischalig - Vollziegel (VZ) | Referenz MiWo</c:v>
                  </c:pt>
                  <c:pt idx="9">
                    <c:v>7. Holzrahmenbau - Holzständerbauweise (HSB) | Referenz MiWo</c:v>
                  </c:pt>
                  <c:pt idx="10">
                    <c:v>8. Holzrahmenbau - Holzständerbauweise (HSB) | Stroh</c:v>
                  </c:pt>
                  <c:pt idx="11">
                    <c:v>9. Stampflehmwand | -</c:v>
                  </c:pt>
                  <c:pt idx="12">
                    <c:v>1. Außenwand Beton | konv. Beton</c:v>
                  </c:pt>
                  <c:pt idx="13">
                    <c:v>2. Außenwand Beton | R-Beton</c:v>
                  </c:pt>
                  <c:pt idx="14">
                    <c:v>1. Stahlbetondecke | Referenz EPS</c:v>
                  </c:pt>
                  <c:pt idx="15">
                    <c:v>2. Metalldecke | Referenz XPS</c:v>
                  </c:pt>
                  <c:pt idx="16">
                    <c:v>3. Holzdecke | Referenz MiWo</c:v>
                  </c:pt>
                  <c:pt idx="17">
                    <c:v>1. Schrägdach - Holzkonstruktion | Referenz MiWo</c:v>
                  </c:pt>
                  <c:pt idx="18">
                    <c:v>2. Flachdach - Stahlbeton | Referenz PIR</c:v>
                  </c:pt>
                  <c:pt idx="19">
                    <c:v>1. Heizung | Neu</c:v>
                  </c:pt>
                  <c:pt idx="20">
                    <c:v>2. Heizung | ReUse</c:v>
                  </c:pt>
                  <c:pt idx="21">
                    <c:v>1. Innenwand | Trockenbau</c:v>
                  </c:pt>
                </c:lvl>
                <c:lvl>
                  <c:pt idx="0">
                    <c:v>320 Gründung</c:v>
                  </c:pt>
                  <c:pt idx="2">
                    <c:v>330 Außenwände</c:v>
                  </c:pt>
                  <c:pt idx="14">
                    <c:v>350 Geschossdecken</c:v>
                  </c:pt>
                  <c:pt idx="17">
                    <c:v>360 Dach</c:v>
                  </c:pt>
                  <c:pt idx="19">
                    <c:v>Sonstige</c:v>
                  </c:pt>
                  <c:pt idx="21">
                    <c:v>340 Innenwände</c:v>
                  </c:pt>
                </c:lvl>
              </c:multiLvlStrCache>
            </c:multiLvlStrRef>
          </c:cat>
          <c:val>
            <c:numRef>
              <c:f>'Ausgabe Tabellen'!$AV$16:$AV$43</c:f>
              <c:numCache>
                <c:formatCode>0</c:formatCode>
                <c:ptCount val="22"/>
                <c:pt idx="0">
                  <c:v>87.544115341655996</c:v>
                </c:pt>
                <c:pt idx="1">
                  <c:v>146.48499485205599</c:v>
                </c:pt>
                <c:pt idx="2">
                  <c:v>1.6607317484999997</c:v>
                </c:pt>
                <c:pt idx="3">
                  <c:v>22.299098113949999</c:v>
                </c:pt>
                <c:pt idx="4">
                  <c:v>16.450302846959996</c:v>
                </c:pt>
                <c:pt idx="5">
                  <c:v>23.271381064890001</c:v>
                </c:pt>
                <c:pt idx="6">
                  <c:v>9.6201660922199981</c:v>
                </c:pt>
                <c:pt idx="7">
                  <c:v>14.286520354277998</c:v>
                </c:pt>
                <c:pt idx="8">
                  <c:v>22.664459098619997</c:v>
                </c:pt>
                <c:pt idx="9">
                  <c:v>1.770038092674</c:v>
                </c:pt>
                <c:pt idx="10">
                  <c:v>3.3558859368779999</c:v>
                </c:pt>
                <c:pt idx="11">
                  <c:v>37.146643847994</c:v>
                </c:pt>
                <c:pt idx="12">
                  <c:v>44.847004038947993</c:v>
                </c:pt>
                <c:pt idx="13">
                  <c:v>89.052663671747993</c:v>
                </c:pt>
                <c:pt idx="14">
                  <c:v>37.432289708735993</c:v>
                </c:pt>
                <c:pt idx="15">
                  <c:v>2.3135503012739997</c:v>
                </c:pt>
                <c:pt idx="16">
                  <c:v>12.308135914973997</c:v>
                </c:pt>
                <c:pt idx="17">
                  <c:v>3.1861893473039999</c:v>
                </c:pt>
                <c:pt idx="18">
                  <c:v>34.192353043025996</c:v>
                </c:pt>
                <c:pt idx="19">
                  <c:v>2.2646342024999999</c:v>
                </c:pt>
                <c:pt idx="20">
                  <c:v>9.0585368099999997</c:v>
                </c:pt>
                <c:pt idx="21">
                  <c:v>6.5414713817279999</c:v>
                </c:pt>
              </c:numCache>
            </c:numRef>
          </c:val>
          <c:extLst>
            <c:ext xmlns:c16="http://schemas.microsoft.com/office/drawing/2014/chart" uri="{C3380CC4-5D6E-409C-BE32-E72D297353CC}">
              <c16:uniqueId val="{00000001-1EC7-402A-9D52-B35DD0CEF1AB}"/>
            </c:ext>
          </c:extLst>
        </c:ser>
        <c:ser>
          <c:idx val="5"/>
          <c:order val="5"/>
          <c:tx>
            <c:strRef>
              <c:f>'Ausgabe Tabellen'!$AW$13:$AW$15</c:f>
              <c:strCache>
                <c:ptCount val="1"/>
                <c:pt idx="0">
                  <c:v>A4 -   PENRT max</c:v>
                </c:pt>
              </c:strCache>
            </c:strRef>
          </c:tx>
          <c:spPr>
            <a:solidFill>
              <a:srgbClr val="FFC000">
                <a:lumMod val="75000"/>
              </a:srgbClr>
            </a:solidFill>
            <a:ln>
              <a:noFill/>
            </a:ln>
            <a:effectLst/>
          </c:spPr>
          <c:invertIfNegative val="0"/>
          <c:cat>
            <c:multiLvlStrRef>
              <c:f>'Ausgabe Tabellen'!$AQ$16:$AQ$43</c:f>
              <c:multiLvlStrCache>
                <c:ptCount val="22"/>
                <c:lvl>
                  <c:pt idx="0">
                    <c:v>1. Stahlbeton-Bodenplatte | Referenz XPS</c:v>
                  </c:pt>
                  <c:pt idx="1">
                    <c:v>2. Stahlbeton (R-Beton) - Bodenplatte | Referenz XPS</c:v>
                  </c:pt>
                  <c:pt idx="2">
                    <c:v>0. Pfosten/Riegelsystem aus Aluminium | Referenz</c:v>
                  </c:pt>
                  <c:pt idx="3">
                    <c:v>1. Mauerwerk, einschalig - Kalksandstein (KS) mit Dämmung | Referenz EPS</c:v>
                  </c:pt>
                  <c:pt idx="4">
                    <c:v>2. Mauerwerk, einschalig - Kalksandstein (KS) mit Dämmung | Hanf</c:v>
                  </c:pt>
                  <c:pt idx="5">
                    <c:v>3. Mauerwerk, einschalig - Kalksandstein (KS) mit Dämmung | Zellulose</c:v>
                  </c:pt>
                  <c:pt idx="6">
                    <c:v>4. Mauerwerk, einschalig - Hochlochziegel (HLZ) | Referenz MiWo</c:v>
                  </c:pt>
                  <c:pt idx="7">
                    <c:v>5. Mauerwerk, einschalig - Mauerziegel (gefüllt) | Referenz</c:v>
                  </c:pt>
                  <c:pt idx="8">
                    <c:v>6. Mauerwerk, zweischalig - Vollziegel (VZ) | Referenz MiWo</c:v>
                  </c:pt>
                  <c:pt idx="9">
                    <c:v>7. Holzrahmenbau - Holzständerbauweise (HSB) | Referenz MiWo</c:v>
                  </c:pt>
                  <c:pt idx="10">
                    <c:v>8. Holzrahmenbau - Holzständerbauweise (HSB) | Stroh</c:v>
                  </c:pt>
                  <c:pt idx="11">
                    <c:v>9. Stampflehmwand | -</c:v>
                  </c:pt>
                  <c:pt idx="12">
                    <c:v>1. Außenwand Beton | konv. Beton</c:v>
                  </c:pt>
                  <c:pt idx="13">
                    <c:v>2. Außenwand Beton | R-Beton</c:v>
                  </c:pt>
                  <c:pt idx="14">
                    <c:v>1. Stahlbetondecke | Referenz EPS</c:v>
                  </c:pt>
                  <c:pt idx="15">
                    <c:v>2. Metalldecke | Referenz XPS</c:v>
                  </c:pt>
                  <c:pt idx="16">
                    <c:v>3. Holzdecke | Referenz MiWo</c:v>
                  </c:pt>
                  <c:pt idx="17">
                    <c:v>1. Schrägdach - Holzkonstruktion | Referenz MiWo</c:v>
                  </c:pt>
                  <c:pt idx="18">
                    <c:v>2. Flachdach - Stahlbeton | Referenz PIR</c:v>
                  </c:pt>
                  <c:pt idx="19">
                    <c:v>1. Heizung | Neu</c:v>
                  </c:pt>
                  <c:pt idx="20">
                    <c:v>2. Heizung | ReUse</c:v>
                  </c:pt>
                  <c:pt idx="21">
                    <c:v>1. Innenwand | Trockenbau</c:v>
                  </c:pt>
                </c:lvl>
                <c:lvl>
                  <c:pt idx="0">
                    <c:v>320 Gründung</c:v>
                  </c:pt>
                  <c:pt idx="2">
                    <c:v>330 Außenwände</c:v>
                  </c:pt>
                  <c:pt idx="14">
                    <c:v>350 Geschossdecken</c:v>
                  </c:pt>
                  <c:pt idx="17">
                    <c:v>360 Dach</c:v>
                  </c:pt>
                  <c:pt idx="19">
                    <c:v>Sonstige</c:v>
                  </c:pt>
                  <c:pt idx="21">
                    <c:v>340 Innenwände</c:v>
                  </c:pt>
                </c:lvl>
              </c:multiLvlStrCache>
            </c:multiLvlStrRef>
          </c:cat>
          <c:val>
            <c:numRef>
              <c:f>'Ausgabe Tabellen'!$AW$16:$AW$43</c:f>
              <c:numCache>
                <c:formatCode>0</c:formatCode>
                <c:ptCount val="22"/>
                <c:pt idx="0">
                  <c:v>87.698714369879994</c:v>
                </c:pt>
                <c:pt idx="1">
                  <c:v>146.63959388027999</c:v>
                </c:pt>
                <c:pt idx="2">
                  <c:v>1.6607317484999997</c:v>
                </c:pt>
                <c:pt idx="3">
                  <c:v>22.41987860475</c:v>
                </c:pt>
                <c:pt idx="4">
                  <c:v>16.633889192975996</c:v>
                </c:pt>
                <c:pt idx="5">
                  <c:v>23.65787863545</c:v>
                </c:pt>
                <c:pt idx="6">
                  <c:v>9.8436100001999982</c:v>
                </c:pt>
                <c:pt idx="7">
                  <c:v>14.286520354277998</c:v>
                </c:pt>
                <c:pt idx="8">
                  <c:v>22.887903006599995</c:v>
                </c:pt>
                <c:pt idx="9">
                  <c:v>1.9626829754999999</c:v>
                </c:pt>
                <c:pt idx="10">
                  <c:v>3.7423835074379994</c:v>
                </c:pt>
                <c:pt idx="11">
                  <c:v>37.874950207517998</c:v>
                </c:pt>
                <c:pt idx="12">
                  <c:v>45.070447946927999</c:v>
                </c:pt>
                <c:pt idx="13">
                  <c:v>89.276107579727991</c:v>
                </c:pt>
                <c:pt idx="14">
                  <c:v>37.553070199535995</c:v>
                </c:pt>
                <c:pt idx="15">
                  <c:v>2.4681493294979995</c:v>
                </c:pt>
                <c:pt idx="16">
                  <c:v>12.531579822953997</c:v>
                </c:pt>
                <c:pt idx="17">
                  <c:v>3.4023864258359997</c:v>
                </c:pt>
                <c:pt idx="18">
                  <c:v>34.337289631985996</c:v>
                </c:pt>
                <c:pt idx="19">
                  <c:v>2.2646342024999999</c:v>
                </c:pt>
                <c:pt idx="20">
                  <c:v>9.0585368099999997</c:v>
                </c:pt>
                <c:pt idx="21">
                  <c:v>6.764915289708</c:v>
                </c:pt>
              </c:numCache>
            </c:numRef>
          </c:val>
          <c:extLst>
            <c:ext xmlns:c16="http://schemas.microsoft.com/office/drawing/2014/chart" uri="{C3380CC4-5D6E-409C-BE32-E72D297353CC}">
              <c16:uniqueId val="{00000002-1EC7-402A-9D52-B35DD0CEF1AB}"/>
            </c:ext>
          </c:extLst>
        </c:ser>
        <c:dLbls>
          <c:showLegendKey val="0"/>
          <c:showVal val="0"/>
          <c:showCatName val="0"/>
          <c:showSerName val="0"/>
          <c:showPercent val="0"/>
          <c:showBubbleSize val="0"/>
        </c:dLbls>
        <c:gapWidth val="219"/>
        <c:axId val="1417204367"/>
        <c:axId val="862482223"/>
      </c:barChart>
      <c:catAx>
        <c:axId val="1417204367"/>
        <c:scaling>
          <c:orientation val="minMax"/>
        </c:scaling>
        <c:delete val="0"/>
        <c:axPos val="l"/>
        <c:numFmt formatCode="General" sourceLinked="1"/>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800" b="0" i="0" u="none" strike="noStrike" kern="1200" baseline="0">
                <a:solidFill>
                  <a:sysClr val="windowText" lastClr="000000"/>
                </a:solidFill>
                <a:latin typeface="+mn-lt"/>
                <a:ea typeface="+mn-ea"/>
                <a:cs typeface="+mn-cs"/>
              </a:defRPr>
            </a:pPr>
            <a:endParaRPr lang="de-DE"/>
          </a:p>
        </c:txPr>
        <c:crossAx val="862482223"/>
        <c:crosses val="autoZero"/>
        <c:auto val="1"/>
        <c:lblAlgn val="ctr"/>
        <c:lblOffset val="100"/>
        <c:noMultiLvlLbl val="0"/>
      </c:catAx>
      <c:valAx>
        <c:axId val="862482223"/>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800" b="0" i="0" u="none" strike="noStrike" kern="1200" baseline="0">
                <a:solidFill>
                  <a:sysClr val="windowText" lastClr="000000"/>
                </a:solidFill>
                <a:latin typeface="+mn-lt"/>
                <a:ea typeface="+mn-ea"/>
                <a:cs typeface="+mn-cs"/>
              </a:defRPr>
            </a:pPr>
            <a:endParaRPr lang="de-DE"/>
          </a:p>
        </c:txPr>
        <c:crossAx val="1417204367"/>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800" b="0" i="0" u="none" strike="noStrike" kern="1200" baseline="0">
              <a:solidFill>
                <a:sysClr val="windowText" lastClr="000000"/>
              </a:solidFill>
              <a:latin typeface="+mn-lt"/>
              <a:ea typeface="+mn-ea"/>
              <a:cs typeface="+mn-cs"/>
            </a:defRPr>
          </a:pPr>
          <a:endParaRPr lang="de-DE"/>
        </a:p>
      </c:txPr>
    </c:legend>
    <c:plotVisOnly val="1"/>
    <c:dispBlanksAs val="gap"/>
    <c:showDLblsOverMax val="0"/>
    <c:extLst/>
  </c:chart>
  <c:spPr>
    <a:solidFill>
      <a:schemeClr val="bg1"/>
    </a:solidFill>
    <a:ln w="9525" cap="flat" cmpd="sng" algn="ctr">
      <a:solidFill>
        <a:schemeClr val="tx1">
          <a:lumMod val="15000"/>
          <a:lumOff val="85000"/>
        </a:schemeClr>
      </a:solidFill>
      <a:round/>
    </a:ln>
    <a:effectLst/>
  </c:spPr>
  <c:txPr>
    <a:bodyPr/>
    <a:lstStyle/>
    <a:p>
      <a:pPr>
        <a:defRPr sz="1800">
          <a:solidFill>
            <a:sysClr val="windowText" lastClr="000000"/>
          </a:solidFill>
        </a:defRPr>
      </a:pPr>
      <a:endParaRPr lang="de-DE"/>
    </a:p>
  </c:txPr>
  <c:printSettings>
    <c:headerFooter/>
    <c:pageMargins b="0.78740157499999996" l="0.7" r="0.7" t="0.78740157499999996" header="0.3" footer="0.3"/>
    <c:pageSetup orientation="landscape"/>
  </c:printSettings>
  <c:extLst/>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pivotSource>
    <c:name>[Leitlinien_LeitRix_final-revised-26.03.2025.xlsm]Ausgabe Tabellen!Pivot_Massen</c:name>
    <c:fmtId val="33"/>
  </c:pivotSource>
  <c:chart>
    <c:title>
      <c:tx>
        <c:rich>
          <a:bodyPr rot="0" spcFirstLastPara="1" vertOverflow="ellipsis" vert="horz" wrap="square" anchor="ctr" anchorCtr="1"/>
          <a:lstStyle/>
          <a:p>
            <a:pPr>
              <a:defRPr sz="2800" b="0" i="0" u="none" strike="noStrike" kern="1200" spc="0" baseline="0">
                <a:solidFill>
                  <a:sysClr val="windowText" lastClr="000000"/>
                </a:solidFill>
                <a:latin typeface="+mn-lt"/>
                <a:ea typeface="+mn-ea"/>
                <a:cs typeface="+mn-cs"/>
              </a:defRPr>
            </a:pPr>
            <a:r>
              <a:rPr lang="de-DE"/>
              <a:t>Massen bei Variation Dämmung | +8, 0 -4 cm |  [kg/m²]</a:t>
            </a:r>
          </a:p>
        </c:rich>
      </c:tx>
      <c:overlay val="0"/>
      <c:spPr>
        <a:noFill/>
        <a:ln>
          <a:noFill/>
        </a:ln>
        <a:effectLst/>
      </c:spPr>
      <c:txPr>
        <a:bodyPr rot="0" spcFirstLastPara="1" vertOverflow="ellipsis" vert="horz" wrap="square" anchor="ctr" anchorCtr="1"/>
        <a:lstStyle/>
        <a:p>
          <a:pPr>
            <a:defRPr sz="2800" b="0" i="0" u="none" strike="noStrike" kern="1200" spc="0" baseline="0">
              <a:solidFill>
                <a:sysClr val="windowText" lastClr="000000"/>
              </a:solidFill>
              <a:latin typeface="+mn-lt"/>
              <a:ea typeface="+mn-ea"/>
              <a:cs typeface="+mn-cs"/>
            </a:defRPr>
          </a:pPr>
          <a:endParaRPr lang="de-DE"/>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6"/>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7"/>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8"/>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9"/>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2"/>
        <c:spPr>
          <a:solidFill>
            <a:srgbClr val="FF99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5"/>
        <c:spPr>
          <a:solidFill>
            <a:schemeClr val="accent1">
              <a:lumMod val="40000"/>
              <a:lumOff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6"/>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7"/>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8"/>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9"/>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0"/>
        <c:spPr>
          <a:solidFill>
            <a:schemeClr val="accent1">
              <a:lumMod val="40000"/>
              <a:lumOff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1"/>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2"/>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3"/>
        <c:spPr>
          <a:solidFill>
            <a:schemeClr val="accent1">
              <a:lumMod val="40000"/>
              <a:lumOff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4"/>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5"/>
        <c:spPr>
          <a:solidFill>
            <a:schemeClr val="accent6"/>
          </a:solidFill>
          <a:ln>
            <a:noFill/>
          </a:ln>
          <a:effectLst/>
        </c:spPr>
        <c:marker>
          <c:symbol val="none"/>
        </c:marker>
        <c:dLbl>
          <c:idx val="0"/>
          <c:spPr>
            <a:noFill/>
            <a:ln>
              <a:noFill/>
            </a:ln>
            <a:effectLst/>
          </c:spPr>
          <c:txPr>
            <a:bodyPr rot="0" spcFirstLastPara="1" vertOverflow="ellipsis" vert="horz" wrap="square" anchor="ctr" anchorCtr="1"/>
            <a:lstStyle/>
            <a:p>
              <a:pPr>
                <a:defRPr sz="12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6"/>
        <c:spPr>
          <a:solidFill>
            <a:schemeClr val="accent1">
              <a:lumMod val="40000"/>
              <a:lumOff val="60000"/>
            </a:schemeClr>
          </a:solidFill>
          <a:ln>
            <a:noFill/>
          </a:ln>
          <a:effectLst/>
        </c:spPr>
        <c:marker>
          <c:symbol val="none"/>
        </c:marker>
        <c:dLbl>
          <c:idx val="0"/>
          <c:spPr>
            <a:noFill/>
            <a:ln>
              <a:noFill/>
            </a:ln>
            <a:effectLst/>
          </c:spPr>
          <c:txPr>
            <a:bodyPr rot="0" spcFirstLastPara="1" vertOverflow="ellipsis" vert="horz" wrap="square" anchor="ctr" anchorCtr="1"/>
            <a:lstStyle/>
            <a:p>
              <a:pPr>
                <a:defRPr sz="12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7"/>
        <c:spPr>
          <a:solidFill>
            <a:srgbClr val="FFC000"/>
          </a:solidFill>
          <a:ln>
            <a:noFill/>
          </a:ln>
          <a:effectLst/>
        </c:spPr>
        <c:marker>
          <c:symbol val="none"/>
        </c:marker>
        <c:dLbl>
          <c:idx val="0"/>
          <c:spPr>
            <a:noFill/>
            <a:ln>
              <a:noFill/>
            </a:ln>
            <a:effectLst/>
          </c:spPr>
          <c:txPr>
            <a:bodyPr rot="0" spcFirstLastPara="1" vertOverflow="ellipsis" vert="horz" wrap="square" anchor="ctr" anchorCtr="1"/>
            <a:lstStyle/>
            <a:p>
              <a:pPr>
                <a:defRPr sz="12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8"/>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9"/>
        <c:spPr>
          <a:solidFill>
            <a:schemeClr val="accent1">
              <a:lumMod val="40000"/>
              <a:lumOff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30"/>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31"/>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32"/>
        <c:spPr>
          <a:solidFill>
            <a:schemeClr val="accent1">
              <a:lumMod val="40000"/>
              <a:lumOff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33"/>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0.44587511539432706"/>
          <c:y val="8.6735975807670257E-2"/>
          <c:w val="0.53001751273601549"/>
          <c:h val="0.82074348698751498"/>
        </c:manualLayout>
      </c:layout>
      <c:barChart>
        <c:barDir val="bar"/>
        <c:grouping val="clustered"/>
        <c:varyColors val="0"/>
        <c:ser>
          <c:idx val="0"/>
          <c:order val="0"/>
          <c:tx>
            <c:strRef>
              <c:f>'Ausgabe Tabellen'!$B$31</c:f>
              <c:strCache>
                <c:ptCount val="1"/>
                <c:pt idx="0">
                  <c:v>  Masse [kg/m²] min</c:v>
                </c:pt>
              </c:strCache>
            </c:strRef>
          </c:tx>
          <c:spPr>
            <a:solidFill>
              <a:schemeClr val="accent6"/>
            </a:solidFill>
            <a:ln>
              <a:noFill/>
            </a:ln>
            <a:effectLst/>
          </c:spPr>
          <c:invertIfNegative val="0"/>
          <c:cat>
            <c:multiLvlStrRef>
              <c:f>'Ausgabe Tabellen'!$A$32:$A$59</c:f>
              <c:multiLvlStrCache>
                <c:ptCount val="22"/>
                <c:lvl>
                  <c:pt idx="0">
                    <c:v>1. Stahlbeton-Bodenplatte | Referenz XPS</c:v>
                  </c:pt>
                  <c:pt idx="1">
                    <c:v>2. Stahlbeton (R-Beton) - Bodenplatte | Referenz XPS</c:v>
                  </c:pt>
                  <c:pt idx="2">
                    <c:v>0. Pfosten/Riegelsystem aus Aluminium | Referenz</c:v>
                  </c:pt>
                  <c:pt idx="3">
                    <c:v>1. Mauerwerk, einschalig - Kalksandstein (KS) mit Dämmung | Referenz EPS</c:v>
                  </c:pt>
                  <c:pt idx="4">
                    <c:v>2. Mauerwerk, einschalig - Kalksandstein (KS) mit Dämmung | Hanf</c:v>
                  </c:pt>
                  <c:pt idx="5">
                    <c:v>3. Mauerwerk, einschalig - Kalksandstein (KS) mit Dämmung | Zellulose</c:v>
                  </c:pt>
                  <c:pt idx="6">
                    <c:v>4. Mauerwerk, einschalig - Hochlochziegel (HLZ) | Referenz MiWo</c:v>
                  </c:pt>
                  <c:pt idx="7">
                    <c:v>5. Mauerwerk, einschalig - Mauerziegel (gefüllt) | Referenz</c:v>
                  </c:pt>
                  <c:pt idx="8">
                    <c:v>6. Mauerwerk, zweischalig - Vollziegel (VZ) | Referenz MiWo</c:v>
                  </c:pt>
                  <c:pt idx="9">
                    <c:v>7. Holzrahmenbau - Holzständerbauweise (HSB) | Referenz MiWo</c:v>
                  </c:pt>
                  <c:pt idx="10">
                    <c:v>8. Holzrahmenbau - Holzständerbauweise (HSB) | Stroh</c:v>
                  </c:pt>
                  <c:pt idx="11">
                    <c:v>9. Stampflehmwand | -</c:v>
                  </c:pt>
                  <c:pt idx="12">
                    <c:v>1. Außenwand Beton | konv. Beton</c:v>
                  </c:pt>
                  <c:pt idx="13">
                    <c:v>2. Außenwand Beton | R-Beton</c:v>
                  </c:pt>
                  <c:pt idx="14">
                    <c:v>1. Stahlbetondecke | Referenz EPS</c:v>
                  </c:pt>
                  <c:pt idx="15">
                    <c:v>2. Metalldecke | Referenz XPS</c:v>
                  </c:pt>
                  <c:pt idx="16">
                    <c:v>3. Holzdecke | Referenz MiWo</c:v>
                  </c:pt>
                  <c:pt idx="17">
                    <c:v>1. Schrägdach - Holzkonstruktion | Referenz MiWo</c:v>
                  </c:pt>
                  <c:pt idx="18">
                    <c:v>2. Flachdach - Stahlbeton | Referenz PIR</c:v>
                  </c:pt>
                  <c:pt idx="19">
                    <c:v>1. Heizung | Neu</c:v>
                  </c:pt>
                  <c:pt idx="20">
                    <c:v>2. Heizung | ReUse</c:v>
                  </c:pt>
                  <c:pt idx="21">
                    <c:v>1. Innenwand | Trockenbau</c:v>
                  </c:pt>
                </c:lvl>
                <c:lvl>
                  <c:pt idx="0">
                    <c:v>320 Gründung</c:v>
                  </c:pt>
                  <c:pt idx="2">
                    <c:v>330 Außenwände</c:v>
                  </c:pt>
                  <c:pt idx="14">
                    <c:v>350 Geschossdecken</c:v>
                  </c:pt>
                  <c:pt idx="17">
                    <c:v>360 Dach</c:v>
                  </c:pt>
                  <c:pt idx="19">
                    <c:v>Sonstige</c:v>
                  </c:pt>
                  <c:pt idx="21">
                    <c:v>340 Innenwände</c:v>
                  </c:pt>
                </c:lvl>
              </c:multiLvlStrCache>
            </c:multiLvlStrRef>
          </c:cat>
          <c:val>
            <c:numRef>
              <c:f>'Ausgabe Tabellen'!$B$32:$B$59</c:f>
              <c:numCache>
                <c:formatCode>#,##0.0</c:formatCode>
                <c:ptCount val="22"/>
                <c:pt idx="0">
                  <c:v>1448.36</c:v>
                </c:pt>
                <c:pt idx="1">
                  <c:v>1464.36</c:v>
                </c:pt>
                <c:pt idx="2">
                  <c:v>37</c:v>
                </c:pt>
                <c:pt idx="3">
                  <c:v>368.25</c:v>
                </c:pt>
                <c:pt idx="4">
                  <c:v>270.88</c:v>
                </c:pt>
                <c:pt idx="5">
                  <c:v>382.15</c:v>
                </c:pt>
                <c:pt idx="6">
                  <c:v>157.44999999999999</c:v>
                </c:pt>
                <c:pt idx="7">
                  <c:v>236.57</c:v>
                </c:pt>
                <c:pt idx="8">
                  <c:v>373.45</c:v>
                </c:pt>
                <c:pt idx="9">
                  <c:v>27.72</c:v>
                </c:pt>
                <c:pt idx="10">
                  <c:v>52.37</c:v>
                </c:pt>
                <c:pt idx="11">
                  <c:v>609.07999999999993</c:v>
                </c:pt>
                <c:pt idx="12">
                  <c:v>740.78</c:v>
                </c:pt>
                <c:pt idx="13">
                  <c:v>752.78</c:v>
                </c:pt>
                <c:pt idx="14">
                  <c:v>618.84</c:v>
                </c:pt>
                <c:pt idx="15">
                  <c:v>37.03</c:v>
                </c:pt>
                <c:pt idx="16">
                  <c:v>201.96</c:v>
                </c:pt>
                <c:pt idx="17">
                  <c:v>50.980000000000004</c:v>
                </c:pt>
                <c:pt idx="18">
                  <c:v>564.99</c:v>
                </c:pt>
                <c:pt idx="19">
                  <c:v>37.5</c:v>
                </c:pt>
                <c:pt idx="20">
                  <c:v>37.5</c:v>
                </c:pt>
                <c:pt idx="21">
                  <c:v>106.48</c:v>
                </c:pt>
              </c:numCache>
            </c:numRef>
          </c:val>
          <c:extLst>
            <c:ext xmlns:c16="http://schemas.microsoft.com/office/drawing/2014/chart" uri="{C3380CC4-5D6E-409C-BE32-E72D297353CC}">
              <c16:uniqueId val="{00000004-9091-410D-8A2C-9C651B6D4583}"/>
            </c:ext>
          </c:extLst>
        </c:ser>
        <c:ser>
          <c:idx val="1"/>
          <c:order val="1"/>
          <c:tx>
            <c:strRef>
              <c:f>'Ausgabe Tabellen'!$C$31</c:f>
              <c:strCache>
                <c:ptCount val="1"/>
                <c:pt idx="0">
                  <c:v>  Masse [kg/m²] Referenz</c:v>
                </c:pt>
              </c:strCache>
            </c:strRef>
          </c:tx>
          <c:spPr>
            <a:solidFill>
              <a:schemeClr val="accent1">
                <a:lumMod val="40000"/>
                <a:lumOff val="60000"/>
              </a:schemeClr>
            </a:solidFill>
            <a:ln>
              <a:noFill/>
            </a:ln>
            <a:effectLst/>
          </c:spPr>
          <c:invertIfNegative val="0"/>
          <c:cat>
            <c:multiLvlStrRef>
              <c:f>'Ausgabe Tabellen'!$A$32:$A$59</c:f>
              <c:multiLvlStrCache>
                <c:ptCount val="22"/>
                <c:lvl>
                  <c:pt idx="0">
                    <c:v>1. Stahlbeton-Bodenplatte | Referenz XPS</c:v>
                  </c:pt>
                  <c:pt idx="1">
                    <c:v>2. Stahlbeton (R-Beton) - Bodenplatte | Referenz XPS</c:v>
                  </c:pt>
                  <c:pt idx="2">
                    <c:v>0. Pfosten/Riegelsystem aus Aluminium | Referenz</c:v>
                  </c:pt>
                  <c:pt idx="3">
                    <c:v>1. Mauerwerk, einschalig - Kalksandstein (KS) mit Dämmung | Referenz EPS</c:v>
                  </c:pt>
                  <c:pt idx="4">
                    <c:v>2. Mauerwerk, einschalig - Kalksandstein (KS) mit Dämmung | Hanf</c:v>
                  </c:pt>
                  <c:pt idx="5">
                    <c:v>3. Mauerwerk, einschalig - Kalksandstein (KS) mit Dämmung | Zellulose</c:v>
                  </c:pt>
                  <c:pt idx="6">
                    <c:v>4. Mauerwerk, einschalig - Hochlochziegel (HLZ) | Referenz MiWo</c:v>
                  </c:pt>
                  <c:pt idx="7">
                    <c:v>5. Mauerwerk, einschalig - Mauerziegel (gefüllt) | Referenz</c:v>
                  </c:pt>
                  <c:pt idx="8">
                    <c:v>6. Mauerwerk, zweischalig - Vollziegel (VZ) | Referenz MiWo</c:v>
                  </c:pt>
                  <c:pt idx="9">
                    <c:v>7. Holzrahmenbau - Holzständerbauweise (HSB) | Referenz MiWo</c:v>
                  </c:pt>
                  <c:pt idx="10">
                    <c:v>8. Holzrahmenbau - Holzständerbauweise (HSB) | Stroh</c:v>
                  </c:pt>
                  <c:pt idx="11">
                    <c:v>9. Stampflehmwand | -</c:v>
                  </c:pt>
                  <c:pt idx="12">
                    <c:v>1. Außenwand Beton | konv. Beton</c:v>
                  </c:pt>
                  <c:pt idx="13">
                    <c:v>2. Außenwand Beton | R-Beton</c:v>
                  </c:pt>
                  <c:pt idx="14">
                    <c:v>1. Stahlbetondecke | Referenz EPS</c:v>
                  </c:pt>
                  <c:pt idx="15">
                    <c:v>2. Metalldecke | Referenz XPS</c:v>
                  </c:pt>
                  <c:pt idx="16">
                    <c:v>3. Holzdecke | Referenz MiWo</c:v>
                  </c:pt>
                  <c:pt idx="17">
                    <c:v>1. Schrägdach - Holzkonstruktion | Referenz MiWo</c:v>
                  </c:pt>
                  <c:pt idx="18">
                    <c:v>2. Flachdach - Stahlbeton | Referenz PIR</c:v>
                  </c:pt>
                  <c:pt idx="19">
                    <c:v>1. Heizung | Neu</c:v>
                  </c:pt>
                  <c:pt idx="20">
                    <c:v>2. Heizung | ReUse</c:v>
                  </c:pt>
                  <c:pt idx="21">
                    <c:v>1. Innenwand | Trockenbau</c:v>
                  </c:pt>
                </c:lvl>
                <c:lvl>
                  <c:pt idx="0">
                    <c:v>320 Gründung</c:v>
                  </c:pt>
                  <c:pt idx="2">
                    <c:v>330 Außenwände</c:v>
                  </c:pt>
                  <c:pt idx="14">
                    <c:v>350 Geschossdecken</c:v>
                  </c:pt>
                  <c:pt idx="17">
                    <c:v>360 Dach</c:v>
                  </c:pt>
                  <c:pt idx="19">
                    <c:v>Sonstige</c:v>
                  </c:pt>
                  <c:pt idx="21">
                    <c:v>340 Innenwände</c:v>
                  </c:pt>
                </c:lvl>
              </c:multiLvlStrCache>
            </c:multiLvlStrRef>
          </c:cat>
          <c:val>
            <c:numRef>
              <c:f>'Ausgabe Tabellen'!$C$32:$C$59</c:f>
              <c:numCache>
                <c:formatCode>#,##0.0</c:formatCode>
                <c:ptCount val="22"/>
                <c:pt idx="0">
                  <c:v>1449.6399999999999</c:v>
                </c:pt>
                <c:pt idx="1">
                  <c:v>1465.6399999999999</c:v>
                </c:pt>
                <c:pt idx="2">
                  <c:v>37</c:v>
                </c:pt>
                <c:pt idx="3">
                  <c:v>369.25</c:v>
                </c:pt>
                <c:pt idx="4">
                  <c:v>272.39999999999998</c:v>
                </c:pt>
                <c:pt idx="5">
                  <c:v>385.35</c:v>
                </c:pt>
                <c:pt idx="6">
                  <c:v>159.30000000000001</c:v>
                </c:pt>
                <c:pt idx="7">
                  <c:v>236.57</c:v>
                </c:pt>
                <c:pt idx="8">
                  <c:v>375.3</c:v>
                </c:pt>
                <c:pt idx="9">
                  <c:v>29.31</c:v>
                </c:pt>
                <c:pt idx="10">
                  <c:v>55.57</c:v>
                </c:pt>
                <c:pt idx="11">
                  <c:v>615.11</c:v>
                </c:pt>
                <c:pt idx="12">
                  <c:v>742.62</c:v>
                </c:pt>
                <c:pt idx="13">
                  <c:v>754.62</c:v>
                </c:pt>
                <c:pt idx="14">
                  <c:v>619.84</c:v>
                </c:pt>
                <c:pt idx="15">
                  <c:v>38.31</c:v>
                </c:pt>
                <c:pt idx="16">
                  <c:v>203.81</c:v>
                </c:pt>
                <c:pt idx="17">
                  <c:v>52.76</c:v>
                </c:pt>
                <c:pt idx="18">
                  <c:v>566.19000000000005</c:v>
                </c:pt>
                <c:pt idx="19">
                  <c:v>37.5</c:v>
                </c:pt>
                <c:pt idx="20">
                  <c:v>37.5</c:v>
                </c:pt>
                <c:pt idx="21">
                  <c:v>108.32000000000001</c:v>
                </c:pt>
              </c:numCache>
            </c:numRef>
          </c:val>
          <c:extLst>
            <c:ext xmlns:c16="http://schemas.microsoft.com/office/drawing/2014/chart" uri="{C3380CC4-5D6E-409C-BE32-E72D297353CC}">
              <c16:uniqueId val="{00000005-9091-410D-8A2C-9C651B6D4583}"/>
            </c:ext>
          </c:extLst>
        </c:ser>
        <c:ser>
          <c:idx val="2"/>
          <c:order val="2"/>
          <c:tx>
            <c:strRef>
              <c:f>'Ausgabe Tabellen'!$D$31</c:f>
              <c:strCache>
                <c:ptCount val="1"/>
                <c:pt idx="0">
                  <c:v>  Masse [kg/m²] max</c:v>
                </c:pt>
              </c:strCache>
            </c:strRef>
          </c:tx>
          <c:spPr>
            <a:solidFill>
              <a:srgbClr val="FFC000"/>
            </a:solidFill>
            <a:ln>
              <a:noFill/>
            </a:ln>
            <a:effectLst/>
          </c:spPr>
          <c:invertIfNegative val="0"/>
          <c:cat>
            <c:multiLvlStrRef>
              <c:f>'Ausgabe Tabellen'!$A$32:$A$59</c:f>
              <c:multiLvlStrCache>
                <c:ptCount val="22"/>
                <c:lvl>
                  <c:pt idx="0">
                    <c:v>1. Stahlbeton-Bodenplatte | Referenz XPS</c:v>
                  </c:pt>
                  <c:pt idx="1">
                    <c:v>2. Stahlbeton (R-Beton) - Bodenplatte | Referenz XPS</c:v>
                  </c:pt>
                  <c:pt idx="2">
                    <c:v>0. Pfosten/Riegelsystem aus Aluminium | Referenz</c:v>
                  </c:pt>
                  <c:pt idx="3">
                    <c:v>1. Mauerwerk, einschalig - Kalksandstein (KS) mit Dämmung | Referenz EPS</c:v>
                  </c:pt>
                  <c:pt idx="4">
                    <c:v>2. Mauerwerk, einschalig - Kalksandstein (KS) mit Dämmung | Hanf</c:v>
                  </c:pt>
                  <c:pt idx="5">
                    <c:v>3. Mauerwerk, einschalig - Kalksandstein (KS) mit Dämmung | Zellulose</c:v>
                  </c:pt>
                  <c:pt idx="6">
                    <c:v>4. Mauerwerk, einschalig - Hochlochziegel (HLZ) | Referenz MiWo</c:v>
                  </c:pt>
                  <c:pt idx="7">
                    <c:v>5. Mauerwerk, einschalig - Mauerziegel (gefüllt) | Referenz</c:v>
                  </c:pt>
                  <c:pt idx="8">
                    <c:v>6. Mauerwerk, zweischalig - Vollziegel (VZ) | Referenz MiWo</c:v>
                  </c:pt>
                  <c:pt idx="9">
                    <c:v>7. Holzrahmenbau - Holzständerbauweise (HSB) | Referenz MiWo</c:v>
                  </c:pt>
                  <c:pt idx="10">
                    <c:v>8. Holzrahmenbau - Holzständerbauweise (HSB) | Stroh</c:v>
                  </c:pt>
                  <c:pt idx="11">
                    <c:v>9. Stampflehmwand | -</c:v>
                  </c:pt>
                  <c:pt idx="12">
                    <c:v>1. Außenwand Beton | konv. Beton</c:v>
                  </c:pt>
                  <c:pt idx="13">
                    <c:v>2. Außenwand Beton | R-Beton</c:v>
                  </c:pt>
                  <c:pt idx="14">
                    <c:v>1. Stahlbetondecke | Referenz EPS</c:v>
                  </c:pt>
                  <c:pt idx="15">
                    <c:v>2. Metalldecke | Referenz XPS</c:v>
                  </c:pt>
                  <c:pt idx="16">
                    <c:v>3. Holzdecke | Referenz MiWo</c:v>
                  </c:pt>
                  <c:pt idx="17">
                    <c:v>1. Schrägdach - Holzkonstruktion | Referenz MiWo</c:v>
                  </c:pt>
                  <c:pt idx="18">
                    <c:v>2. Flachdach - Stahlbeton | Referenz PIR</c:v>
                  </c:pt>
                  <c:pt idx="19">
                    <c:v>1. Heizung | Neu</c:v>
                  </c:pt>
                  <c:pt idx="20">
                    <c:v>2. Heizung | ReUse</c:v>
                  </c:pt>
                  <c:pt idx="21">
                    <c:v>1. Innenwand | Trockenbau</c:v>
                  </c:pt>
                </c:lvl>
                <c:lvl>
                  <c:pt idx="0">
                    <c:v>320 Gründung</c:v>
                  </c:pt>
                  <c:pt idx="2">
                    <c:v>330 Außenwände</c:v>
                  </c:pt>
                  <c:pt idx="14">
                    <c:v>350 Geschossdecken</c:v>
                  </c:pt>
                  <c:pt idx="17">
                    <c:v>360 Dach</c:v>
                  </c:pt>
                  <c:pt idx="19">
                    <c:v>Sonstige</c:v>
                  </c:pt>
                  <c:pt idx="21">
                    <c:v>340 Innenwände</c:v>
                  </c:pt>
                </c:lvl>
              </c:multiLvlStrCache>
            </c:multiLvlStrRef>
          </c:cat>
          <c:val>
            <c:numRef>
              <c:f>'Ausgabe Tabellen'!$D$32:$D$59</c:f>
              <c:numCache>
                <c:formatCode>#,##0.0</c:formatCode>
                <c:ptCount val="22"/>
                <c:pt idx="0">
                  <c:v>1452.2</c:v>
                </c:pt>
                <c:pt idx="1">
                  <c:v>1468.2</c:v>
                </c:pt>
                <c:pt idx="2">
                  <c:v>37</c:v>
                </c:pt>
                <c:pt idx="3">
                  <c:v>371.25</c:v>
                </c:pt>
                <c:pt idx="4">
                  <c:v>275.44</c:v>
                </c:pt>
                <c:pt idx="5">
                  <c:v>391.75</c:v>
                </c:pt>
                <c:pt idx="6">
                  <c:v>163</c:v>
                </c:pt>
                <c:pt idx="7">
                  <c:v>236.57</c:v>
                </c:pt>
                <c:pt idx="8">
                  <c:v>379</c:v>
                </c:pt>
                <c:pt idx="9">
                  <c:v>32.5</c:v>
                </c:pt>
                <c:pt idx="10">
                  <c:v>61.97</c:v>
                </c:pt>
                <c:pt idx="11">
                  <c:v>627.16999999999996</c:v>
                </c:pt>
                <c:pt idx="12">
                  <c:v>746.32</c:v>
                </c:pt>
                <c:pt idx="13">
                  <c:v>758.32</c:v>
                </c:pt>
                <c:pt idx="14">
                  <c:v>621.84</c:v>
                </c:pt>
                <c:pt idx="15">
                  <c:v>40.869999999999997</c:v>
                </c:pt>
                <c:pt idx="16">
                  <c:v>207.51000000000002</c:v>
                </c:pt>
                <c:pt idx="17">
                  <c:v>56.34</c:v>
                </c:pt>
                <c:pt idx="18">
                  <c:v>568.58999999999992</c:v>
                </c:pt>
                <c:pt idx="19">
                  <c:v>37.5</c:v>
                </c:pt>
                <c:pt idx="20">
                  <c:v>37.5</c:v>
                </c:pt>
                <c:pt idx="21">
                  <c:v>112.02</c:v>
                </c:pt>
              </c:numCache>
            </c:numRef>
          </c:val>
          <c:extLst>
            <c:ext xmlns:c16="http://schemas.microsoft.com/office/drawing/2014/chart" uri="{C3380CC4-5D6E-409C-BE32-E72D297353CC}">
              <c16:uniqueId val="{00000006-9091-410D-8A2C-9C651B6D4583}"/>
            </c:ext>
          </c:extLst>
        </c:ser>
        <c:dLbls>
          <c:showLegendKey val="0"/>
          <c:showVal val="0"/>
          <c:showCatName val="0"/>
          <c:showSerName val="0"/>
          <c:showPercent val="0"/>
          <c:showBubbleSize val="0"/>
        </c:dLbls>
        <c:gapWidth val="219"/>
        <c:axId val="1417204367"/>
        <c:axId val="862482223"/>
      </c:barChart>
      <c:catAx>
        <c:axId val="1417204367"/>
        <c:scaling>
          <c:orientation val="minMax"/>
        </c:scaling>
        <c:delete val="0"/>
        <c:axPos val="l"/>
        <c:numFmt formatCode="General" sourceLinked="1"/>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800" b="0" i="0" u="none" strike="noStrike" kern="1200" baseline="0">
                <a:solidFill>
                  <a:sysClr val="windowText" lastClr="000000"/>
                </a:solidFill>
                <a:latin typeface="+mn-lt"/>
                <a:ea typeface="+mn-ea"/>
                <a:cs typeface="+mn-cs"/>
              </a:defRPr>
            </a:pPr>
            <a:endParaRPr lang="de-DE"/>
          </a:p>
        </c:txPr>
        <c:crossAx val="862482223"/>
        <c:crosses val="autoZero"/>
        <c:auto val="1"/>
        <c:lblAlgn val="ctr"/>
        <c:lblOffset val="100"/>
        <c:noMultiLvlLbl val="0"/>
      </c:catAx>
      <c:valAx>
        <c:axId val="862482223"/>
        <c:scaling>
          <c:orientation val="minMax"/>
          <c:min val="0"/>
        </c:scaling>
        <c:delete val="0"/>
        <c:axPos val="b"/>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1800" b="0" i="0" u="none" strike="noStrike" kern="1200" baseline="0">
                <a:solidFill>
                  <a:sysClr val="windowText" lastClr="000000"/>
                </a:solidFill>
                <a:latin typeface="+mn-lt"/>
                <a:ea typeface="+mn-ea"/>
                <a:cs typeface="+mn-cs"/>
              </a:defRPr>
            </a:pPr>
            <a:endParaRPr lang="de-DE"/>
          </a:p>
        </c:txPr>
        <c:crossAx val="1417204367"/>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800" b="0" i="0" u="none" strike="noStrike" kern="1200" baseline="0">
              <a:solidFill>
                <a:sysClr val="windowText" lastClr="000000"/>
              </a:solidFill>
              <a:latin typeface="+mn-lt"/>
              <a:ea typeface="+mn-ea"/>
              <a:cs typeface="+mn-cs"/>
            </a:defRPr>
          </a:pPr>
          <a:endParaRPr lang="de-DE"/>
        </a:p>
      </c:txPr>
    </c:legend>
    <c:plotVisOnly val="1"/>
    <c:dispBlanksAs val="gap"/>
    <c:showDLblsOverMax val="0"/>
    <c:extLst/>
  </c:chart>
  <c:spPr>
    <a:solidFill>
      <a:schemeClr val="bg1"/>
    </a:solidFill>
    <a:ln w="9525" cap="flat" cmpd="sng" algn="ctr">
      <a:solidFill>
        <a:schemeClr val="tx1">
          <a:lumMod val="15000"/>
          <a:lumOff val="85000"/>
        </a:schemeClr>
      </a:solidFill>
      <a:round/>
    </a:ln>
    <a:effectLst/>
  </c:spPr>
  <c:txPr>
    <a:bodyPr/>
    <a:lstStyle/>
    <a:p>
      <a:pPr>
        <a:defRPr sz="1800">
          <a:solidFill>
            <a:sysClr val="windowText" lastClr="000000"/>
          </a:solidFill>
        </a:defRPr>
      </a:pPr>
      <a:endParaRPr lang="de-DE"/>
    </a:p>
  </c:txPr>
  <c:printSettings>
    <c:headerFooter/>
    <c:pageMargins b="0.78740157499999996" l="0.7" r="0.7" t="0.78740157499999996" header="0.3" footer="0.3"/>
    <c:pageSetup/>
  </c:printSettings>
  <c:extLst/>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pivotSource>
    <c:name>[Leitlinien_LeitRix_final-revised-26.03.2025.xlsm]Ausgabe Tabellen!Pivot_norm</c:name>
    <c:fmtId val="44"/>
  </c:pivotSource>
  <c:chart>
    <c:title>
      <c:tx>
        <c:rich>
          <a:bodyPr rot="0" spcFirstLastPara="1" vertOverflow="ellipsis" vert="horz" wrap="square" anchor="ctr" anchorCtr="1"/>
          <a:lstStyle/>
          <a:p>
            <a:pPr>
              <a:defRPr sz="2800" b="0" i="0" u="none" strike="noStrike" kern="1200" spc="0" baseline="0">
                <a:solidFill>
                  <a:sysClr val="windowText" lastClr="000000"/>
                </a:solidFill>
                <a:latin typeface="+mn-lt"/>
                <a:ea typeface="+mn-ea"/>
                <a:cs typeface="+mn-cs"/>
              </a:defRPr>
            </a:pPr>
            <a:r>
              <a:rPr lang="de-DE"/>
              <a:t>Umweltwirkungen - normiert bei Variation Dämmung | +8, 0 -4 cm |  [-]</a:t>
            </a:r>
          </a:p>
        </c:rich>
      </c:tx>
      <c:overlay val="0"/>
      <c:spPr>
        <a:noFill/>
        <a:ln>
          <a:noFill/>
        </a:ln>
        <a:effectLst/>
      </c:spPr>
      <c:txPr>
        <a:bodyPr rot="0" spcFirstLastPara="1" vertOverflow="ellipsis" vert="horz" wrap="square" anchor="ctr" anchorCtr="1"/>
        <a:lstStyle/>
        <a:p>
          <a:pPr>
            <a:defRPr sz="2800" b="0" i="0" u="none" strike="noStrike" kern="1200" spc="0" baseline="0">
              <a:solidFill>
                <a:sysClr val="windowText" lastClr="000000"/>
              </a:solidFill>
              <a:latin typeface="+mn-lt"/>
              <a:ea typeface="+mn-ea"/>
              <a:cs typeface="+mn-cs"/>
            </a:defRPr>
          </a:pPr>
          <a:endParaRPr lang="de-DE"/>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6"/>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7"/>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8"/>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9"/>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2"/>
        <c:spPr>
          <a:solidFill>
            <a:srgbClr val="FF99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5"/>
        <c:spPr>
          <a:solidFill>
            <a:schemeClr val="accent1">
              <a:lumMod val="40000"/>
              <a:lumOff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6"/>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7"/>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8"/>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9"/>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0"/>
        <c:spPr>
          <a:solidFill>
            <a:schemeClr val="accent1">
              <a:lumMod val="40000"/>
              <a:lumOff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1"/>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2"/>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3"/>
        <c:spPr>
          <a:solidFill>
            <a:schemeClr val="accent1">
              <a:lumMod val="40000"/>
              <a:lumOff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4"/>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5"/>
        <c:spPr>
          <a:solidFill>
            <a:schemeClr val="accent6"/>
          </a:solidFill>
          <a:ln>
            <a:noFill/>
          </a:ln>
          <a:effectLst/>
        </c:spPr>
        <c:marker>
          <c:symbol val="none"/>
        </c:marker>
        <c:dLbl>
          <c:idx val="0"/>
          <c:spPr>
            <a:noFill/>
            <a:ln>
              <a:noFill/>
            </a:ln>
            <a:effectLst/>
          </c:spPr>
          <c:txPr>
            <a:bodyPr rot="0" spcFirstLastPara="1" vertOverflow="ellipsis" vert="horz" wrap="square" anchor="ctr" anchorCtr="1"/>
            <a:lstStyle/>
            <a:p>
              <a:pPr>
                <a:defRPr sz="12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6"/>
        <c:spPr>
          <a:solidFill>
            <a:schemeClr val="accent1">
              <a:lumMod val="40000"/>
              <a:lumOff val="60000"/>
            </a:schemeClr>
          </a:solidFill>
          <a:ln>
            <a:noFill/>
          </a:ln>
          <a:effectLst/>
        </c:spPr>
        <c:marker>
          <c:symbol val="none"/>
        </c:marker>
        <c:dLbl>
          <c:idx val="0"/>
          <c:spPr>
            <a:noFill/>
            <a:ln>
              <a:noFill/>
            </a:ln>
            <a:effectLst/>
          </c:spPr>
          <c:txPr>
            <a:bodyPr rot="0" spcFirstLastPara="1" vertOverflow="ellipsis" vert="horz" wrap="square" anchor="ctr" anchorCtr="1"/>
            <a:lstStyle/>
            <a:p>
              <a:pPr>
                <a:defRPr sz="12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7"/>
        <c:spPr>
          <a:solidFill>
            <a:srgbClr val="FFC000"/>
          </a:solidFill>
          <a:ln>
            <a:noFill/>
          </a:ln>
          <a:effectLst/>
        </c:spPr>
        <c:marker>
          <c:symbol val="none"/>
        </c:marker>
        <c:dLbl>
          <c:idx val="0"/>
          <c:spPr>
            <a:noFill/>
            <a:ln>
              <a:noFill/>
            </a:ln>
            <a:effectLst/>
          </c:spPr>
          <c:txPr>
            <a:bodyPr rot="0" spcFirstLastPara="1" vertOverflow="ellipsis" vert="horz" wrap="square" anchor="ctr" anchorCtr="1"/>
            <a:lstStyle/>
            <a:p>
              <a:pPr>
                <a:defRPr sz="12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8"/>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9"/>
        <c:spPr>
          <a:solidFill>
            <a:schemeClr val="accent1">
              <a:lumMod val="40000"/>
              <a:lumOff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30"/>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31"/>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32"/>
        <c:spPr>
          <a:solidFill>
            <a:schemeClr val="accent1">
              <a:lumMod val="40000"/>
              <a:lumOff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33"/>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34"/>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35"/>
        <c:spPr>
          <a:solidFill>
            <a:schemeClr val="accent1">
              <a:lumMod val="40000"/>
              <a:lumOff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36"/>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37"/>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38"/>
        <c:spPr>
          <a:solidFill>
            <a:schemeClr val="accent1">
              <a:lumMod val="40000"/>
              <a:lumOff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39"/>
        <c:spPr>
          <a:solidFill>
            <a:srgbClr val="FFC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ysClr val="windowText" lastClr="000000"/>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0.44587511539432706"/>
          <c:y val="8.6735975807670257E-2"/>
          <c:w val="0.53001751273601549"/>
          <c:h val="0.82074348698751498"/>
        </c:manualLayout>
      </c:layout>
      <c:barChart>
        <c:barDir val="bar"/>
        <c:grouping val="clustered"/>
        <c:varyColors val="0"/>
        <c:ser>
          <c:idx val="0"/>
          <c:order val="0"/>
          <c:tx>
            <c:strRef>
              <c:f>'Ausgabe Tabellen'!$G$13</c:f>
              <c:strCache>
                <c:ptCount val="1"/>
                <c:pt idx="0">
                  <c:v>  Normierter Wert min</c:v>
                </c:pt>
              </c:strCache>
            </c:strRef>
          </c:tx>
          <c:spPr>
            <a:solidFill>
              <a:schemeClr val="accent6"/>
            </a:solidFill>
            <a:ln>
              <a:noFill/>
            </a:ln>
            <a:effectLst/>
          </c:spPr>
          <c:invertIfNegative val="0"/>
          <c:cat>
            <c:multiLvlStrRef>
              <c:f>'Ausgabe Tabellen'!$F$14:$F$41</c:f>
              <c:multiLvlStrCache>
                <c:ptCount val="22"/>
                <c:lvl>
                  <c:pt idx="0">
                    <c:v>1. Stahlbeton-Bodenplatte | Referenz XPS</c:v>
                  </c:pt>
                  <c:pt idx="1">
                    <c:v>2. Stahlbeton (R-Beton) - Bodenplatte | Referenz XPS</c:v>
                  </c:pt>
                  <c:pt idx="2">
                    <c:v>0. Pfosten/Riegelsystem aus Aluminium | Referenz</c:v>
                  </c:pt>
                  <c:pt idx="3">
                    <c:v>1. Mauerwerk, einschalig - Kalksandstein (KS) mit Dämmung | Referenz EPS</c:v>
                  </c:pt>
                  <c:pt idx="4">
                    <c:v>2. Mauerwerk, einschalig - Kalksandstein (KS) mit Dämmung | Hanf</c:v>
                  </c:pt>
                  <c:pt idx="5">
                    <c:v>3. Mauerwerk, einschalig - Kalksandstein (KS) mit Dämmung | Zellulose</c:v>
                  </c:pt>
                  <c:pt idx="6">
                    <c:v>4. Mauerwerk, einschalig - Hochlochziegel (HLZ) | Referenz MiWo</c:v>
                  </c:pt>
                  <c:pt idx="7">
                    <c:v>5. Mauerwerk, einschalig - Mauerziegel (gefüllt) | Referenz</c:v>
                  </c:pt>
                  <c:pt idx="8">
                    <c:v>6. Mauerwerk, zweischalig - Vollziegel (VZ) | Referenz MiWo</c:v>
                  </c:pt>
                  <c:pt idx="9">
                    <c:v>7. Holzrahmenbau - Holzständerbauweise (HSB) | Referenz MiWo</c:v>
                  </c:pt>
                  <c:pt idx="10">
                    <c:v>8. Holzrahmenbau - Holzständerbauweise (HSB) | Stroh</c:v>
                  </c:pt>
                  <c:pt idx="11">
                    <c:v>9. Stampflehmwand | -</c:v>
                  </c:pt>
                  <c:pt idx="12">
                    <c:v>1. Außenwand Beton | konv. Beton</c:v>
                  </c:pt>
                  <c:pt idx="13">
                    <c:v>2. Außenwand Beton | R-Beton</c:v>
                  </c:pt>
                  <c:pt idx="14">
                    <c:v>1. Stahlbetondecke | Referenz EPS</c:v>
                  </c:pt>
                  <c:pt idx="15">
                    <c:v>2. Metalldecke | Referenz XPS</c:v>
                  </c:pt>
                  <c:pt idx="16">
                    <c:v>3. Holzdecke | Referenz MiWo</c:v>
                  </c:pt>
                  <c:pt idx="17">
                    <c:v>1. Schrägdach - Holzkonstruktion | Referenz MiWo</c:v>
                  </c:pt>
                  <c:pt idx="18">
                    <c:v>2. Flachdach - Stahlbeton | Referenz PIR</c:v>
                  </c:pt>
                  <c:pt idx="19">
                    <c:v>1. Heizung | Neu</c:v>
                  </c:pt>
                  <c:pt idx="20">
                    <c:v>2. Heizung | ReUse</c:v>
                  </c:pt>
                  <c:pt idx="21">
                    <c:v>1. Innenwand | Trockenbau</c:v>
                  </c:pt>
                </c:lvl>
                <c:lvl>
                  <c:pt idx="0">
                    <c:v>320 Gründung</c:v>
                  </c:pt>
                  <c:pt idx="2">
                    <c:v>330 Außenwände</c:v>
                  </c:pt>
                  <c:pt idx="14">
                    <c:v>350 Geschossdecken</c:v>
                  </c:pt>
                  <c:pt idx="17">
                    <c:v>360 Dach</c:v>
                  </c:pt>
                  <c:pt idx="19">
                    <c:v>Sonstige</c:v>
                  </c:pt>
                  <c:pt idx="21">
                    <c:v>340 Innenwände</c:v>
                  </c:pt>
                </c:lvl>
              </c:multiLvlStrCache>
            </c:multiLvlStrRef>
          </c:cat>
          <c:val>
            <c:numRef>
              <c:f>'Ausgabe Tabellen'!$G$14:$G$41</c:f>
              <c:numCache>
                <c:formatCode>General</c:formatCode>
                <c:ptCount val="22"/>
                <c:pt idx="0">
                  <c:v>9.1172546374484201E-2</c:v>
                </c:pt>
                <c:pt idx="1">
                  <c:v>8.6509351566189274E-2</c:v>
                </c:pt>
                <c:pt idx="2">
                  <c:v>4.5597879467061515E-2</c:v>
                </c:pt>
                <c:pt idx="3">
                  <c:v>2.60134989605742E-2</c:v>
                </c:pt>
                <c:pt idx="4">
                  <c:v>1.8686521488201945E-2</c:v>
                </c:pt>
                <c:pt idx="5">
                  <c:v>2.4940982651373397E-2</c:v>
                </c:pt>
                <c:pt idx="6">
                  <c:v>1.4452755348007409E-2</c:v>
                </c:pt>
                <c:pt idx="7">
                  <c:v>3.2105486120049251E-2</c:v>
                </c:pt>
                <c:pt idx="8">
                  <c:v>3.757120648552395E-2</c:v>
                </c:pt>
                <c:pt idx="9">
                  <c:v>4.2705008012950641E-3</c:v>
                </c:pt>
                <c:pt idx="10">
                  <c:v>5.3219411547197329E-3</c:v>
                </c:pt>
                <c:pt idx="11">
                  <c:v>2.9535602084967225E-2</c:v>
                </c:pt>
                <c:pt idx="12">
                  <c:v>5.2220820036535463E-2</c:v>
                </c:pt>
                <c:pt idx="13">
                  <c:v>4.8723423930314272E-2</c:v>
                </c:pt>
                <c:pt idx="14">
                  <c:v>4.679779378177757E-2</c:v>
                </c:pt>
                <c:pt idx="15">
                  <c:v>1.2642070725436837E-2</c:v>
                </c:pt>
                <c:pt idx="16">
                  <c:v>1.7656836509892904E-2</c:v>
                </c:pt>
                <c:pt idx="17">
                  <c:v>6.837042785817541E-3</c:v>
                </c:pt>
                <c:pt idx="18">
                  <c:v>4.3097240562201711E-2</c:v>
                </c:pt>
                <c:pt idx="19">
                  <c:v>4.6568647795491809E-2</c:v>
                </c:pt>
                <c:pt idx="20">
                  <c:v>2.412173578110172E-4</c:v>
                </c:pt>
                <c:pt idx="21">
                  <c:v>1.045803180300723E-2</c:v>
                </c:pt>
              </c:numCache>
            </c:numRef>
          </c:val>
          <c:extLst>
            <c:ext xmlns:c16="http://schemas.microsoft.com/office/drawing/2014/chart" uri="{C3380CC4-5D6E-409C-BE32-E72D297353CC}">
              <c16:uniqueId val="{00000003-C311-463D-9B23-33A51001C42B}"/>
            </c:ext>
          </c:extLst>
        </c:ser>
        <c:ser>
          <c:idx val="1"/>
          <c:order val="1"/>
          <c:tx>
            <c:strRef>
              <c:f>'Ausgabe Tabellen'!$H$13</c:f>
              <c:strCache>
                <c:ptCount val="1"/>
                <c:pt idx="0">
                  <c:v>  Normierter Wert Referenz</c:v>
                </c:pt>
              </c:strCache>
            </c:strRef>
          </c:tx>
          <c:spPr>
            <a:solidFill>
              <a:schemeClr val="accent1">
                <a:lumMod val="40000"/>
                <a:lumOff val="60000"/>
              </a:schemeClr>
            </a:solidFill>
            <a:ln>
              <a:noFill/>
            </a:ln>
            <a:effectLst/>
          </c:spPr>
          <c:invertIfNegative val="0"/>
          <c:cat>
            <c:multiLvlStrRef>
              <c:f>'Ausgabe Tabellen'!$F$14:$F$41</c:f>
              <c:multiLvlStrCache>
                <c:ptCount val="22"/>
                <c:lvl>
                  <c:pt idx="0">
                    <c:v>1. Stahlbeton-Bodenplatte | Referenz XPS</c:v>
                  </c:pt>
                  <c:pt idx="1">
                    <c:v>2. Stahlbeton (R-Beton) - Bodenplatte | Referenz XPS</c:v>
                  </c:pt>
                  <c:pt idx="2">
                    <c:v>0. Pfosten/Riegelsystem aus Aluminium | Referenz</c:v>
                  </c:pt>
                  <c:pt idx="3">
                    <c:v>1. Mauerwerk, einschalig - Kalksandstein (KS) mit Dämmung | Referenz EPS</c:v>
                  </c:pt>
                  <c:pt idx="4">
                    <c:v>2. Mauerwerk, einschalig - Kalksandstein (KS) mit Dämmung | Hanf</c:v>
                  </c:pt>
                  <c:pt idx="5">
                    <c:v>3. Mauerwerk, einschalig - Kalksandstein (KS) mit Dämmung | Zellulose</c:v>
                  </c:pt>
                  <c:pt idx="6">
                    <c:v>4. Mauerwerk, einschalig - Hochlochziegel (HLZ) | Referenz MiWo</c:v>
                  </c:pt>
                  <c:pt idx="7">
                    <c:v>5. Mauerwerk, einschalig - Mauerziegel (gefüllt) | Referenz</c:v>
                  </c:pt>
                  <c:pt idx="8">
                    <c:v>6. Mauerwerk, zweischalig - Vollziegel (VZ) | Referenz MiWo</c:v>
                  </c:pt>
                  <c:pt idx="9">
                    <c:v>7. Holzrahmenbau - Holzständerbauweise (HSB) | Referenz MiWo</c:v>
                  </c:pt>
                  <c:pt idx="10">
                    <c:v>8. Holzrahmenbau - Holzständerbauweise (HSB) | Stroh</c:v>
                  </c:pt>
                  <c:pt idx="11">
                    <c:v>9. Stampflehmwand | -</c:v>
                  </c:pt>
                  <c:pt idx="12">
                    <c:v>1. Außenwand Beton | konv. Beton</c:v>
                  </c:pt>
                  <c:pt idx="13">
                    <c:v>2. Außenwand Beton | R-Beton</c:v>
                  </c:pt>
                  <c:pt idx="14">
                    <c:v>1. Stahlbetondecke | Referenz EPS</c:v>
                  </c:pt>
                  <c:pt idx="15">
                    <c:v>2. Metalldecke | Referenz XPS</c:v>
                  </c:pt>
                  <c:pt idx="16">
                    <c:v>3. Holzdecke | Referenz MiWo</c:v>
                  </c:pt>
                  <c:pt idx="17">
                    <c:v>1. Schrägdach - Holzkonstruktion | Referenz MiWo</c:v>
                  </c:pt>
                  <c:pt idx="18">
                    <c:v>2. Flachdach - Stahlbeton | Referenz PIR</c:v>
                  </c:pt>
                  <c:pt idx="19">
                    <c:v>1. Heizung | Neu</c:v>
                  </c:pt>
                  <c:pt idx="20">
                    <c:v>2. Heizung | ReUse</c:v>
                  </c:pt>
                  <c:pt idx="21">
                    <c:v>1. Innenwand | Trockenbau</c:v>
                  </c:pt>
                </c:lvl>
                <c:lvl>
                  <c:pt idx="0">
                    <c:v>320 Gründung</c:v>
                  </c:pt>
                  <c:pt idx="2">
                    <c:v>330 Außenwände</c:v>
                  </c:pt>
                  <c:pt idx="14">
                    <c:v>350 Geschossdecken</c:v>
                  </c:pt>
                  <c:pt idx="17">
                    <c:v>360 Dach</c:v>
                  </c:pt>
                  <c:pt idx="19">
                    <c:v>Sonstige</c:v>
                  </c:pt>
                  <c:pt idx="21">
                    <c:v>340 Innenwände</c:v>
                  </c:pt>
                </c:lvl>
              </c:multiLvlStrCache>
            </c:multiLvlStrRef>
          </c:cat>
          <c:val>
            <c:numRef>
              <c:f>'Ausgabe Tabellen'!$H$14:$H$41</c:f>
              <c:numCache>
                <c:formatCode>General</c:formatCode>
                <c:ptCount val="22"/>
                <c:pt idx="0">
                  <c:v>9.2976279564856726E-2</c:v>
                </c:pt>
                <c:pt idx="1">
                  <c:v>8.8313084756561785E-2</c:v>
                </c:pt>
                <c:pt idx="2">
                  <c:v>4.5597879467061515E-2</c:v>
                </c:pt>
                <c:pt idx="3">
                  <c:v>2.725626418856612E-2</c:v>
                </c:pt>
                <c:pt idx="4">
                  <c:v>1.9202864780844892E-2</c:v>
                </c:pt>
                <c:pt idx="5">
                  <c:v>2.551018648267615E-2</c:v>
                </c:pt>
                <c:pt idx="6">
                  <c:v>1.5178220044831828E-2</c:v>
                </c:pt>
                <c:pt idx="7">
                  <c:v>3.2105486120049251E-2</c:v>
                </c:pt>
                <c:pt idx="8">
                  <c:v>3.8296671182348377E-2</c:v>
                </c:pt>
                <c:pt idx="9">
                  <c:v>4.8943988324483484E-3</c:v>
                </c:pt>
                <c:pt idx="10">
                  <c:v>5.519432783404896E-3</c:v>
                </c:pt>
                <c:pt idx="11">
                  <c:v>3.1346586522555217E-2</c:v>
                </c:pt>
                <c:pt idx="12">
                  <c:v>5.2946268652202685E-2</c:v>
                </c:pt>
                <c:pt idx="13">
                  <c:v>4.9448872545981508E-2</c:v>
                </c:pt>
                <c:pt idx="14">
                  <c:v>4.8040559009769487E-2</c:v>
                </c:pt>
                <c:pt idx="15">
                  <c:v>1.4445803915809364E-2</c:v>
                </c:pt>
                <c:pt idx="16">
                  <c:v>1.8382301206717327E-2</c:v>
                </c:pt>
                <c:pt idx="17">
                  <c:v>7.5383119251168258E-3</c:v>
                </c:pt>
                <c:pt idx="18">
                  <c:v>4.4839496330818449E-2</c:v>
                </c:pt>
                <c:pt idx="19">
                  <c:v>4.6568647795491809E-2</c:v>
                </c:pt>
                <c:pt idx="20">
                  <c:v>2.412173578110172E-4</c:v>
                </c:pt>
                <c:pt idx="21">
                  <c:v>1.1183480418674464E-2</c:v>
                </c:pt>
              </c:numCache>
            </c:numRef>
          </c:val>
          <c:extLst>
            <c:ext xmlns:c16="http://schemas.microsoft.com/office/drawing/2014/chart" uri="{C3380CC4-5D6E-409C-BE32-E72D297353CC}">
              <c16:uniqueId val="{00000004-C311-463D-9B23-33A51001C42B}"/>
            </c:ext>
          </c:extLst>
        </c:ser>
        <c:ser>
          <c:idx val="2"/>
          <c:order val="2"/>
          <c:tx>
            <c:strRef>
              <c:f>'Ausgabe Tabellen'!$I$13</c:f>
              <c:strCache>
                <c:ptCount val="1"/>
                <c:pt idx="0">
                  <c:v>  Normierter Wert max</c:v>
                </c:pt>
              </c:strCache>
            </c:strRef>
          </c:tx>
          <c:spPr>
            <a:solidFill>
              <a:srgbClr val="FFC000"/>
            </a:solidFill>
            <a:ln>
              <a:noFill/>
            </a:ln>
            <a:effectLst/>
          </c:spPr>
          <c:invertIfNegative val="0"/>
          <c:cat>
            <c:multiLvlStrRef>
              <c:f>'Ausgabe Tabellen'!$F$14:$F$41</c:f>
              <c:multiLvlStrCache>
                <c:ptCount val="22"/>
                <c:lvl>
                  <c:pt idx="0">
                    <c:v>1. Stahlbeton-Bodenplatte | Referenz XPS</c:v>
                  </c:pt>
                  <c:pt idx="1">
                    <c:v>2. Stahlbeton (R-Beton) - Bodenplatte | Referenz XPS</c:v>
                  </c:pt>
                  <c:pt idx="2">
                    <c:v>0. Pfosten/Riegelsystem aus Aluminium | Referenz</c:v>
                  </c:pt>
                  <c:pt idx="3">
                    <c:v>1. Mauerwerk, einschalig - Kalksandstein (KS) mit Dämmung | Referenz EPS</c:v>
                  </c:pt>
                  <c:pt idx="4">
                    <c:v>2. Mauerwerk, einschalig - Kalksandstein (KS) mit Dämmung | Hanf</c:v>
                  </c:pt>
                  <c:pt idx="5">
                    <c:v>3. Mauerwerk, einschalig - Kalksandstein (KS) mit Dämmung | Zellulose</c:v>
                  </c:pt>
                  <c:pt idx="6">
                    <c:v>4. Mauerwerk, einschalig - Hochlochziegel (HLZ) | Referenz MiWo</c:v>
                  </c:pt>
                  <c:pt idx="7">
                    <c:v>5. Mauerwerk, einschalig - Mauerziegel (gefüllt) | Referenz</c:v>
                  </c:pt>
                  <c:pt idx="8">
                    <c:v>6. Mauerwerk, zweischalig - Vollziegel (VZ) | Referenz MiWo</c:v>
                  </c:pt>
                  <c:pt idx="9">
                    <c:v>7. Holzrahmenbau - Holzständerbauweise (HSB) | Referenz MiWo</c:v>
                  </c:pt>
                  <c:pt idx="10">
                    <c:v>8. Holzrahmenbau - Holzständerbauweise (HSB) | Stroh</c:v>
                  </c:pt>
                  <c:pt idx="11">
                    <c:v>9. Stampflehmwand | -</c:v>
                  </c:pt>
                  <c:pt idx="12">
                    <c:v>1. Außenwand Beton | konv. Beton</c:v>
                  </c:pt>
                  <c:pt idx="13">
                    <c:v>2. Außenwand Beton | R-Beton</c:v>
                  </c:pt>
                  <c:pt idx="14">
                    <c:v>1. Stahlbetondecke | Referenz EPS</c:v>
                  </c:pt>
                  <c:pt idx="15">
                    <c:v>2. Metalldecke | Referenz XPS</c:v>
                  </c:pt>
                  <c:pt idx="16">
                    <c:v>3. Holzdecke | Referenz MiWo</c:v>
                  </c:pt>
                  <c:pt idx="17">
                    <c:v>1. Schrägdach - Holzkonstruktion | Referenz MiWo</c:v>
                  </c:pt>
                  <c:pt idx="18">
                    <c:v>2. Flachdach - Stahlbeton | Referenz PIR</c:v>
                  </c:pt>
                  <c:pt idx="19">
                    <c:v>1. Heizung | Neu</c:v>
                  </c:pt>
                  <c:pt idx="20">
                    <c:v>2. Heizung | ReUse</c:v>
                  </c:pt>
                  <c:pt idx="21">
                    <c:v>1. Innenwand | Trockenbau</c:v>
                  </c:pt>
                </c:lvl>
                <c:lvl>
                  <c:pt idx="0">
                    <c:v>320 Gründung</c:v>
                  </c:pt>
                  <c:pt idx="2">
                    <c:v>330 Außenwände</c:v>
                  </c:pt>
                  <c:pt idx="14">
                    <c:v>350 Geschossdecken</c:v>
                  </c:pt>
                  <c:pt idx="17">
                    <c:v>360 Dach</c:v>
                  </c:pt>
                  <c:pt idx="19">
                    <c:v>Sonstige</c:v>
                  </c:pt>
                  <c:pt idx="21">
                    <c:v>340 Innenwände</c:v>
                  </c:pt>
                </c:lvl>
              </c:multiLvlStrCache>
            </c:multiLvlStrRef>
          </c:cat>
          <c:val>
            <c:numRef>
              <c:f>'Ausgabe Tabellen'!$I$14:$I$41</c:f>
              <c:numCache>
                <c:formatCode>General</c:formatCode>
                <c:ptCount val="22"/>
                <c:pt idx="0">
                  <c:v>9.6583745945601776E-2</c:v>
                </c:pt>
                <c:pt idx="1">
                  <c:v>9.192055113730685E-2</c:v>
                </c:pt>
                <c:pt idx="2">
                  <c:v>4.5597879467061515E-2</c:v>
                </c:pt>
                <c:pt idx="3">
                  <c:v>2.9741794644549964E-2</c:v>
                </c:pt>
                <c:pt idx="4">
                  <c:v>2.0235551366130783E-2</c:v>
                </c:pt>
                <c:pt idx="5">
                  <c:v>2.6648594145281659E-2</c:v>
                </c:pt>
                <c:pt idx="6">
                  <c:v>1.6629149438480671E-2</c:v>
                </c:pt>
                <c:pt idx="7">
                  <c:v>3.2105486120049251E-2</c:v>
                </c:pt>
                <c:pt idx="8">
                  <c:v>3.9747600575997209E-2</c:v>
                </c:pt>
                <c:pt idx="9">
                  <c:v>6.1422109759121041E-3</c:v>
                </c:pt>
                <c:pt idx="10">
                  <c:v>5.9144160407752231E-3</c:v>
                </c:pt>
                <c:pt idx="11">
                  <c:v>3.4968555397731194E-2</c:v>
                </c:pt>
                <c:pt idx="12">
                  <c:v>5.4397198045851539E-2</c:v>
                </c:pt>
                <c:pt idx="13">
                  <c:v>5.0899801939630347E-2</c:v>
                </c:pt>
                <c:pt idx="14">
                  <c:v>5.0526089465753335E-2</c:v>
                </c:pt>
                <c:pt idx="15">
                  <c:v>1.8053270296554413E-2</c:v>
                </c:pt>
                <c:pt idx="16">
                  <c:v>1.983323060036617E-2</c:v>
                </c:pt>
                <c:pt idx="17">
                  <c:v>8.9408823660297697E-3</c:v>
                </c:pt>
                <c:pt idx="18">
                  <c:v>4.8324007868051931E-2</c:v>
                </c:pt>
                <c:pt idx="19">
                  <c:v>4.6568647795491809E-2</c:v>
                </c:pt>
                <c:pt idx="20">
                  <c:v>2.412173578110172E-4</c:v>
                </c:pt>
                <c:pt idx="21">
                  <c:v>1.2634409812323309E-2</c:v>
                </c:pt>
              </c:numCache>
            </c:numRef>
          </c:val>
          <c:extLst>
            <c:ext xmlns:c16="http://schemas.microsoft.com/office/drawing/2014/chart" uri="{C3380CC4-5D6E-409C-BE32-E72D297353CC}">
              <c16:uniqueId val="{00000005-C311-463D-9B23-33A51001C42B}"/>
            </c:ext>
          </c:extLst>
        </c:ser>
        <c:dLbls>
          <c:showLegendKey val="0"/>
          <c:showVal val="0"/>
          <c:showCatName val="0"/>
          <c:showSerName val="0"/>
          <c:showPercent val="0"/>
          <c:showBubbleSize val="0"/>
        </c:dLbls>
        <c:gapWidth val="219"/>
        <c:axId val="1417204367"/>
        <c:axId val="862482223"/>
      </c:barChart>
      <c:catAx>
        <c:axId val="1417204367"/>
        <c:scaling>
          <c:orientation val="minMax"/>
        </c:scaling>
        <c:delete val="0"/>
        <c:axPos val="l"/>
        <c:numFmt formatCode="General" sourceLinked="1"/>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800" b="0" i="0" u="none" strike="noStrike" kern="1200" baseline="0">
                <a:solidFill>
                  <a:sysClr val="windowText" lastClr="000000"/>
                </a:solidFill>
                <a:latin typeface="+mn-lt"/>
                <a:ea typeface="+mn-ea"/>
                <a:cs typeface="+mn-cs"/>
              </a:defRPr>
            </a:pPr>
            <a:endParaRPr lang="de-DE"/>
          </a:p>
        </c:txPr>
        <c:crossAx val="862482223"/>
        <c:crosses val="autoZero"/>
        <c:auto val="1"/>
        <c:lblAlgn val="ctr"/>
        <c:lblOffset val="100"/>
        <c:noMultiLvlLbl val="0"/>
      </c:catAx>
      <c:valAx>
        <c:axId val="862482223"/>
        <c:scaling>
          <c:orientation val="minMax"/>
          <c:min val="0"/>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800" b="0" i="0" u="none" strike="noStrike" kern="1200" baseline="0">
                <a:solidFill>
                  <a:sysClr val="windowText" lastClr="000000"/>
                </a:solidFill>
                <a:latin typeface="+mn-lt"/>
                <a:ea typeface="+mn-ea"/>
                <a:cs typeface="+mn-cs"/>
              </a:defRPr>
            </a:pPr>
            <a:endParaRPr lang="de-DE"/>
          </a:p>
        </c:txPr>
        <c:crossAx val="1417204367"/>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800" b="0" i="0" u="none" strike="noStrike" kern="1200" baseline="0">
              <a:solidFill>
                <a:sysClr val="windowText" lastClr="000000"/>
              </a:solidFill>
              <a:latin typeface="+mn-lt"/>
              <a:ea typeface="+mn-ea"/>
              <a:cs typeface="+mn-cs"/>
            </a:defRPr>
          </a:pPr>
          <a:endParaRPr lang="de-DE"/>
        </a:p>
      </c:txPr>
    </c:legend>
    <c:plotVisOnly val="1"/>
    <c:dispBlanksAs val="gap"/>
    <c:showDLblsOverMax val="0"/>
    <c:extLst/>
  </c:chart>
  <c:spPr>
    <a:solidFill>
      <a:schemeClr val="bg1"/>
    </a:solidFill>
    <a:ln w="9525" cap="flat" cmpd="sng" algn="ctr">
      <a:solidFill>
        <a:schemeClr val="tx1">
          <a:lumMod val="15000"/>
          <a:lumOff val="85000"/>
        </a:schemeClr>
      </a:solidFill>
      <a:round/>
    </a:ln>
    <a:effectLst/>
  </c:spPr>
  <c:txPr>
    <a:bodyPr/>
    <a:lstStyle/>
    <a:p>
      <a:pPr>
        <a:defRPr sz="1800">
          <a:solidFill>
            <a:sysClr val="windowText" lastClr="000000"/>
          </a:solidFill>
        </a:defRPr>
      </a:pPr>
      <a:endParaRPr lang="de-DE"/>
    </a:p>
  </c:txPr>
  <c:printSettings>
    <c:headerFooter>
      <c:oddHeader>&amp;LLeitRess&amp;R2023</c:oddHeader>
    </c:headerFooter>
    <c:pageMargins b="0.78740157499999996" l="0.7" r="0.7" t="0.78740157499999996" header="0.3" footer="0.3"/>
    <c:pageSetup orientation="landscape"/>
  </c:printSettings>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0</xdr:col>
      <xdr:colOff>142875</xdr:colOff>
      <xdr:row>81</xdr:row>
      <xdr:rowOff>166687</xdr:rowOff>
    </xdr:from>
    <xdr:to>
      <xdr:col>25</xdr:col>
      <xdr:colOff>1273470</xdr:colOff>
      <xdr:row>163</xdr:row>
      <xdr:rowOff>31402</xdr:rowOff>
    </xdr:to>
    <xdr:graphicFrame macro="">
      <xdr:nvGraphicFramePr>
        <xdr:cNvPr id="16" name="Diagramm 15">
          <a:extLst>
            <a:ext uri="{FF2B5EF4-FFF2-40B4-BE49-F238E27FC236}">
              <a16:creationId xmlns:a16="http://schemas.microsoft.com/office/drawing/2014/main" id="{00000000-0008-0000-0000-00001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142875</xdr:colOff>
      <xdr:row>165</xdr:row>
      <xdr:rowOff>27860</xdr:rowOff>
    </xdr:from>
    <xdr:to>
      <xdr:col>25</xdr:col>
      <xdr:colOff>1273470</xdr:colOff>
      <xdr:row>246</xdr:row>
      <xdr:rowOff>73550</xdr:rowOff>
    </xdr:to>
    <xdr:graphicFrame macro="">
      <xdr:nvGraphicFramePr>
        <xdr:cNvPr id="17" name="Diagramm 16">
          <a:extLst>
            <a:ext uri="{FF2B5EF4-FFF2-40B4-BE49-F238E27FC236}">
              <a16:creationId xmlns:a16="http://schemas.microsoft.com/office/drawing/2014/main" id="{00000000-0008-0000-0000-00001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142875</xdr:colOff>
      <xdr:row>248</xdr:row>
      <xdr:rowOff>70008</xdr:rowOff>
    </xdr:from>
    <xdr:to>
      <xdr:col>25</xdr:col>
      <xdr:colOff>1273470</xdr:colOff>
      <xdr:row>329</xdr:row>
      <xdr:rowOff>119508</xdr:rowOff>
    </xdr:to>
    <xdr:graphicFrame macro="">
      <xdr:nvGraphicFramePr>
        <xdr:cNvPr id="18" name="Diagramm 7">
          <a:extLst>
            <a:ext uri="{FF2B5EF4-FFF2-40B4-BE49-F238E27FC236}">
              <a16:creationId xmlns:a16="http://schemas.microsoft.com/office/drawing/2014/main" id="{00000000-0008-0000-00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142875</xdr:colOff>
      <xdr:row>331</xdr:row>
      <xdr:rowOff>115966</xdr:rowOff>
    </xdr:from>
    <xdr:to>
      <xdr:col>25</xdr:col>
      <xdr:colOff>1273470</xdr:colOff>
      <xdr:row>412</xdr:row>
      <xdr:rowOff>146416</xdr:rowOff>
    </xdr:to>
    <xdr:graphicFrame macro="">
      <xdr:nvGraphicFramePr>
        <xdr:cNvPr id="19" name="Diagramm 18">
          <a:extLst>
            <a:ext uri="{FF2B5EF4-FFF2-40B4-BE49-F238E27FC236}">
              <a16:creationId xmlns:a16="http://schemas.microsoft.com/office/drawing/2014/main" id="{00000000-0008-0000-0000-00001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5</xdr:col>
      <xdr:colOff>1</xdr:colOff>
      <xdr:row>10</xdr:row>
      <xdr:rowOff>21908</xdr:rowOff>
    </xdr:from>
    <xdr:to>
      <xdr:col>23</xdr:col>
      <xdr:colOff>1</xdr:colOff>
      <xdr:row>68</xdr:row>
      <xdr:rowOff>0</xdr:rowOff>
    </xdr:to>
    <xdr:graphicFrame macro="">
      <xdr:nvGraphicFramePr>
        <xdr:cNvPr id="21" name="Diagramm 20">
          <a:extLst>
            <a:ext uri="{FF2B5EF4-FFF2-40B4-BE49-F238E27FC236}">
              <a16:creationId xmlns:a16="http://schemas.microsoft.com/office/drawing/2014/main" id="{00000000-0008-0000-0000-00001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oneCellAnchor>
    <xdr:from>
      <xdr:col>8</xdr:col>
      <xdr:colOff>695496</xdr:colOff>
      <xdr:row>0</xdr:row>
      <xdr:rowOff>48885</xdr:rowOff>
    </xdr:from>
    <xdr:ext cx="7184275" cy="1219436"/>
    <xdr:sp macro="" textlink="">
      <xdr:nvSpPr>
        <xdr:cNvPr id="3" name="Textfeld 2">
          <a:extLst>
            <a:ext uri="{FF2B5EF4-FFF2-40B4-BE49-F238E27FC236}">
              <a16:creationId xmlns:a16="http://schemas.microsoft.com/office/drawing/2014/main" id="{00000000-0008-0000-0000-000003000000}"/>
            </a:ext>
          </a:extLst>
        </xdr:cNvPr>
        <xdr:cNvSpPr txBox="1"/>
      </xdr:nvSpPr>
      <xdr:spPr>
        <a:xfrm>
          <a:off x="7328360" y="48885"/>
          <a:ext cx="7184275" cy="12194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algn="ctr"/>
          <a:r>
            <a:rPr lang="de-DE" sz="3600"/>
            <a:t>Dashboard </a:t>
          </a:r>
        </a:p>
        <a:p>
          <a:pPr algn="ctr"/>
          <a:r>
            <a:rPr lang="de-DE" sz="3600"/>
            <a:t>LeitRess</a:t>
          </a:r>
          <a:r>
            <a:rPr lang="de-DE" sz="3600" baseline="0"/>
            <a:t> | Bauteil-LCA</a:t>
          </a:r>
          <a:endParaRPr lang="de-DE" sz="3600"/>
        </a:p>
      </xdr:txBody>
    </xdr:sp>
    <xdr:clientData/>
  </xdr:oneCellAnchor>
  <xdr:twoCellAnchor editAs="oneCell">
    <xdr:from>
      <xdr:col>0</xdr:col>
      <xdr:colOff>34636</xdr:colOff>
      <xdr:row>10</xdr:row>
      <xdr:rowOff>17319</xdr:rowOff>
    </xdr:from>
    <xdr:to>
      <xdr:col>4</xdr:col>
      <xdr:colOff>0</xdr:colOff>
      <xdr:row>18</xdr:row>
      <xdr:rowOff>7793</xdr:rowOff>
    </xdr:to>
    <mc:AlternateContent xmlns:mc="http://schemas.openxmlformats.org/markup-compatibility/2006" xmlns:a14="http://schemas.microsoft.com/office/drawing/2010/main">
      <mc:Choice Requires="a14">
        <xdr:graphicFrame macro="">
          <xdr:nvGraphicFramePr>
            <xdr:cNvPr id="6" name="Kostengruppe">
              <a:extLst>
                <a:ext uri="{FF2B5EF4-FFF2-40B4-BE49-F238E27FC236}">
                  <a16:creationId xmlns:a16="http://schemas.microsoft.com/office/drawing/2014/main" id="{00000000-0008-0000-0000-000006000000}"/>
                </a:ext>
              </a:extLst>
            </xdr:cNvPr>
            <xdr:cNvGraphicFramePr/>
          </xdr:nvGraphicFramePr>
          <xdr:xfrm>
            <a:off x="0" y="0"/>
            <a:ext cx="0" cy="0"/>
          </xdr:xfrm>
          <a:graphic>
            <a:graphicData uri="http://schemas.microsoft.com/office/drawing/2010/slicer">
              <sle:slicer xmlns:sle="http://schemas.microsoft.com/office/drawing/2010/slicer" name="Kostengruppe"/>
            </a:graphicData>
          </a:graphic>
        </xdr:graphicFrame>
      </mc:Choice>
      <mc:Fallback xmlns="">
        <xdr:sp macro="" textlink="">
          <xdr:nvSpPr>
            <xdr:cNvPr id="0" name=""/>
            <xdr:cNvSpPr>
              <a:spLocks noTextEdit="1"/>
            </xdr:cNvSpPr>
          </xdr:nvSpPr>
          <xdr:spPr>
            <a:xfrm>
              <a:off x="34636" y="1783254"/>
              <a:ext cx="3275302" cy="2026746"/>
            </a:xfrm>
            <a:prstGeom prst="rect">
              <a:avLst/>
            </a:prstGeom>
            <a:solidFill>
              <a:prstClr val="white"/>
            </a:solidFill>
            <a:ln w="1">
              <a:solidFill>
                <a:prstClr val="green"/>
              </a:solidFill>
            </a:ln>
          </xdr:spPr>
          <xdr:txBody>
            <a:bodyPr vertOverflow="clip" horzOverflow="clip"/>
            <a:lstStyle/>
            <a:p>
              <a:r>
                <a:rPr lang="de-DE" sz="1100"/>
                <a:t>Diese Form stellt einen Datenschnitt dar. Datenschnitte werden in Excel 2010 und höher unterstützt.
Wenn die Form in einer früheren Version von Excel geändert oder die Arbeitsmappe in Excel 2003 oder früher gespeichert wurde, kann der Datenschnitt nicht verwendet werden.</a:t>
              </a:r>
            </a:p>
          </xdr:txBody>
        </xdr:sp>
      </mc:Fallback>
    </mc:AlternateContent>
    <xdr:clientData/>
  </xdr:twoCellAnchor>
  <xdr:twoCellAnchor editAs="oneCell">
    <xdr:from>
      <xdr:col>23</xdr:col>
      <xdr:colOff>842419</xdr:colOff>
      <xdr:row>23</xdr:row>
      <xdr:rowOff>18099</xdr:rowOff>
    </xdr:from>
    <xdr:to>
      <xdr:col>26</xdr:col>
      <xdr:colOff>9388</xdr:colOff>
      <xdr:row>36</xdr:row>
      <xdr:rowOff>135255</xdr:rowOff>
    </xdr:to>
    <mc:AlternateContent xmlns:mc="http://schemas.openxmlformats.org/markup-compatibility/2006" xmlns:a14="http://schemas.microsoft.com/office/drawing/2010/main">
      <mc:Choice Requires="a14">
        <xdr:graphicFrame macro="">
          <xdr:nvGraphicFramePr>
            <xdr:cNvPr id="8" name="Modul">
              <a:extLst>
                <a:ext uri="{FF2B5EF4-FFF2-40B4-BE49-F238E27FC236}">
                  <a16:creationId xmlns:a16="http://schemas.microsoft.com/office/drawing/2014/main" id="{00000000-0008-0000-0000-000008000000}"/>
                </a:ext>
              </a:extLst>
            </xdr:cNvPr>
            <xdr:cNvGraphicFramePr/>
          </xdr:nvGraphicFramePr>
          <xdr:xfrm>
            <a:off x="0" y="0"/>
            <a:ext cx="0" cy="0"/>
          </xdr:xfrm>
          <a:graphic>
            <a:graphicData uri="http://schemas.microsoft.com/office/drawing/2010/slicer">
              <sle:slicer xmlns:sle="http://schemas.microsoft.com/office/drawing/2010/slicer" name="Modul"/>
            </a:graphicData>
          </a:graphic>
        </xdr:graphicFrame>
      </mc:Choice>
      <mc:Fallback xmlns="">
        <xdr:sp macro="" textlink="">
          <xdr:nvSpPr>
            <xdr:cNvPr id="0" name=""/>
            <xdr:cNvSpPr>
              <a:spLocks noTextEdit="1"/>
            </xdr:cNvSpPr>
          </xdr:nvSpPr>
          <xdr:spPr>
            <a:xfrm>
              <a:off x="19837990" y="4821420"/>
              <a:ext cx="3007177" cy="2583179"/>
            </a:xfrm>
            <a:prstGeom prst="rect">
              <a:avLst/>
            </a:prstGeom>
            <a:solidFill>
              <a:prstClr val="white"/>
            </a:solidFill>
            <a:ln w="1">
              <a:solidFill>
                <a:prstClr val="green"/>
              </a:solidFill>
            </a:ln>
          </xdr:spPr>
          <xdr:txBody>
            <a:bodyPr vertOverflow="clip" horzOverflow="clip"/>
            <a:lstStyle/>
            <a:p>
              <a:r>
                <a:rPr lang="de-DE" sz="1100"/>
                <a:t>Diese Form stellt einen Datenschnitt dar. Datenschnitte werden in Excel 2010 und höher unterstützt.
Wenn die Form in einer früheren Version von Excel geändert oder die Arbeitsmappe in Excel 2003 oder früher gespeichert wurde, kann der Datenschnitt nicht verwendet werden.</a:t>
              </a:r>
            </a:p>
          </xdr:txBody>
        </xdr:sp>
      </mc:Fallback>
    </mc:AlternateContent>
    <xdr:clientData/>
  </xdr:twoCellAnchor>
  <xdr:twoCellAnchor editAs="oneCell">
    <xdr:from>
      <xdr:col>0</xdr:col>
      <xdr:colOff>17319</xdr:colOff>
      <xdr:row>21</xdr:row>
      <xdr:rowOff>34635</xdr:rowOff>
    </xdr:from>
    <xdr:to>
      <xdr:col>4</xdr:col>
      <xdr:colOff>64336</xdr:colOff>
      <xdr:row>58</xdr:row>
      <xdr:rowOff>102927</xdr:rowOff>
    </xdr:to>
    <mc:AlternateContent xmlns:mc="http://schemas.openxmlformats.org/markup-compatibility/2006" xmlns:a14="http://schemas.microsoft.com/office/drawing/2010/main">
      <mc:Choice Requires="a14">
        <xdr:graphicFrame macro="">
          <xdr:nvGraphicFramePr>
            <xdr:cNvPr id="9" name="ID Baukonstruktion">
              <a:extLst>
                <a:ext uri="{FF2B5EF4-FFF2-40B4-BE49-F238E27FC236}">
                  <a16:creationId xmlns:a16="http://schemas.microsoft.com/office/drawing/2014/main" id="{00000000-0008-0000-0000-000009000000}"/>
                </a:ext>
              </a:extLst>
            </xdr:cNvPr>
            <xdr:cNvGraphicFramePr/>
          </xdr:nvGraphicFramePr>
          <xdr:xfrm>
            <a:off x="0" y="0"/>
            <a:ext cx="0" cy="0"/>
          </xdr:xfrm>
          <a:graphic>
            <a:graphicData uri="http://schemas.microsoft.com/office/drawing/2010/slicer">
              <sle:slicer xmlns:sle="http://schemas.microsoft.com/office/drawing/2010/slicer" name="ID Baukonstruktion"/>
            </a:graphicData>
          </a:graphic>
        </xdr:graphicFrame>
      </mc:Choice>
      <mc:Fallback xmlns="">
        <xdr:sp macro="" textlink="">
          <xdr:nvSpPr>
            <xdr:cNvPr id="0" name=""/>
            <xdr:cNvSpPr>
              <a:spLocks noTextEdit="1"/>
            </xdr:cNvSpPr>
          </xdr:nvSpPr>
          <xdr:spPr>
            <a:xfrm>
              <a:off x="21129" y="4416135"/>
              <a:ext cx="3344573" cy="7069802"/>
            </a:xfrm>
            <a:prstGeom prst="rect">
              <a:avLst/>
            </a:prstGeom>
            <a:solidFill>
              <a:prstClr val="white"/>
            </a:solidFill>
            <a:ln w="1">
              <a:solidFill>
                <a:prstClr val="green"/>
              </a:solidFill>
            </a:ln>
          </xdr:spPr>
          <xdr:txBody>
            <a:bodyPr vertOverflow="clip" horzOverflow="clip"/>
            <a:lstStyle/>
            <a:p>
              <a:r>
                <a:rPr lang="de-DE" sz="1100"/>
                <a:t>Diese Form stellt einen Datenschnitt dar. Datenschnitte werden in Excel 2010 und höher unterstützt.
Wenn die Form in einer früheren Version von Excel geändert oder die Arbeitsmappe in Excel 2003 oder früher gespeichert wurde, kann der Datenschnitt nicht verwendet werden.</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23</xdr:col>
          <xdr:colOff>838200</xdr:colOff>
          <xdr:row>14</xdr:row>
          <xdr:rowOff>52388</xdr:rowOff>
        </xdr:from>
        <xdr:to>
          <xdr:col>26</xdr:col>
          <xdr:colOff>9525</xdr:colOff>
          <xdr:row>16</xdr:row>
          <xdr:rowOff>104775</xdr:rowOff>
        </xdr:to>
        <xdr:sp macro="" textlink="">
          <xdr:nvSpPr>
            <xdr:cNvPr id="1026" name="CommandButton1"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23</xdr:col>
      <xdr:colOff>838200</xdr:colOff>
      <xdr:row>14</xdr:row>
      <xdr:rowOff>57150</xdr:rowOff>
    </xdr:from>
    <xdr:to>
      <xdr:col>24</xdr:col>
      <xdr:colOff>15875</xdr:colOff>
      <xdr:row>14</xdr:row>
      <xdr:rowOff>159742</xdr:rowOff>
    </xdr:to>
    <xdr:sp macro="" textlink="">
      <xdr:nvSpPr>
        <xdr:cNvPr id="2" name="Textfeld 1">
          <a:extLst>
            <a:ext uri="{FF2B5EF4-FFF2-40B4-BE49-F238E27FC236}">
              <a16:creationId xmlns:a16="http://schemas.microsoft.com/office/drawing/2014/main" id="{86942802-E300-F98C-3407-765D93974F21}"/>
            </a:ext>
          </a:extLst>
        </xdr:cNvPr>
        <xdr:cNvSpPr txBox="1"/>
      </xdr:nvSpPr>
      <xdr:spPr>
        <a:xfrm>
          <a:off x="19850100" y="3105150"/>
          <a:ext cx="63500" cy="102592"/>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spAutoFit/>
        </a:bodyPr>
        <a:lstStyle/>
        <a:p>
          <a:pPr algn="l" rtl="0"/>
          <a:r>
            <a:rPr lang="de-DE" sz="100">
              <a:latin typeface="ZWAdobeF" pitchFamily="2" charset="0"/>
            </a:rPr>
            <a:t>X0AO</a:t>
          </a:r>
        </a:p>
      </xdr:txBody>
    </xdr:sp>
    <xdr:clientData/>
  </xdr:twoCellAnchor>
  <xdr:twoCellAnchor>
    <xdr:from>
      <xdr:col>0</xdr:col>
      <xdr:colOff>142875</xdr:colOff>
      <xdr:row>414</xdr:row>
      <xdr:rowOff>142875</xdr:rowOff>
    </xdr:from>
    <xdr:to>
      <xdr:col>25</xdr:col>
      <xdr:colOff>1265850</xdr:colOff>
      <xdr:row>495</xdr:row>
      <xdr:rowOff>142875</xdr:rowOff>
    </xdr:to>
    <xdr:graphicFrame macro="">
      <xdr:nvGraphicFramePr>
        <xdr:cNvPr id="4" name="Diagramm 3">
          <a:extLst>
            <a:ext uri="{FF2B5EF4-FFF2-40B4-BE49-F238E27FC236}">
              <a16:creationId xmlns:a16="http://schemas.microsoft.com/office/drawing/2014/main" id="{93C4CCBD-026E-41BA-9CA8-EDBAE5EC18C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Excel Services" refreshedDate="45685.430658449077" createdVersion="8" refreshedVersion="8" minRefreshableVersion="3" recordCount="172" xr:uid="{88BB2CEC-12EB-487E-A58D-35D70FF8F757}">
  <cacheSource type="worksheet">
    <worksheetSource name="Baukon_alle"/>
  </cacheSource>
  <cacheFields count="57">
    <cacheField name="Kostengruppe" numFmtId="0">
      <sharedItems containsMixedTypes="1" containsNumber="1" minValue="0.03" maxValue="960" count="54">
        <s v="320 Gründung"/>
        <s v="330 Außenwände"/>
        <s v="350 Geschossdecken"/>
        <s v="360 Dach"/>
        <s v="Sonstige"/>
        <s v="340 Innenwände"/>
        <n v="15.75" u="1"/>
        <n v="350" u="1"/>
        <n v="5.55" u="1"/>
        <n v="138" u="1"/>
        <n v="10" u="1"/>
        <n v="6.65" u="1"/>
        <n v="240" u="1"/>
        <n v="9.6" u="1"/>
        <n v="220.82" u="1"/>
        <n v="216" u="1"/>
        <n v="11.83" u="1"/>
        <n v="4.7699999999999996" u="1"/>
        <n v="2.71" u="1"/>
        <n v="23.66" u="1"/>
        <n v="19.2" u="1"/>
        <n v="9.5" u="1"/>
        <n v="27.5" u="1"/>
        <n v="600" u="1"/>
        <n v="144" u="1"/>
        <n v="0.28000000000000003" u="1"/>
        <n v="1.85" u="1"/>
        <n v="47.32" u="1"/>
        <n v="0.36" u="1"/>
        <n v="6.08" u="1"/>
        <n v="3" u="1"/>
        <n v="4.4800000000000004" u="1"/>
        <n v="14.75" u="1"/>
        <n v="132" u="1"/>
        <n v="2" u="1"/>
        <n v="467.46" u="1"/>
        <n v="15.1" u="1"/>
        <n v="3.6" u="1"/>
        <n v="5.75" u="1"/>
        <n v="74" u="1"/>
        <n v="1.97" u="1"/>
        <n v="5.36" u="1"/>
        <n v="0.15" u="1"/>
        <n v="45" u="1"/>
        <n v="15.08" u="1"/>
        <n v="0.03" u="1"/>
        <n v="118" u="1"/>
        <n v="944" u="1"/>
        <n v="3.84" u="1"/>
        <n v="960" u="1"/>
        <n v="360" u="1"/>
        <n v="18.12" u="1"/>
        <n v="5.4" u="1"/>
        <n v="3.5" u="1"/>
      </sharedItems>
    </cacheField>
    <cacheField name="Name Baukonstruktion" numFmtId="0">
      <sharedItems/>
    </cacheField>
    <cacheField name="Variante Nummer" numFmtId="0">
      <sharedItems containsString="0" containsBlank="1" containsNumber="1" containsInteger="1" minValue="0" maxValue="9"/>
    </cacheField>
    <cacheField name="Variante Name" numFmtId="0">
      <sharedItems/>
    </cacheField>
    <cacheField name="ID Baukonstruktion" numFmtId="0">
      <sharedItems containsBlank="1" count="75">
        <s v="2. Stahlbeton (R-Beton) - Bodenplatte | Referenz XPS"/>
        <s v="1. Stahlbeton-Bodenplatte | Referenz XPS"/>
        <s v="1. Mauerwerk, einschalig - Kalksandstein (KS) mit Dämmung | Referenz EPS"/>
        <s v="4. Mauerwerk, einschalig - Hochlochziegel (HLZ) | Referenz MiWo"/>
        <s v="2. Mauerwerk, einschalig - Kalksandstein (KS) mit Dämmung | Hanf"/>
        <s v="3. Mauerwerk, einschalig - Kalksandstein (KS) mit Dämmung | Zellulose"/>
        <s v="5. Mauerwerk, einschalig - Mauerziegel (gefüllt) | Referenz"/>
        <s v="6. Mauerwerk, zweischalig - Vollziegel (VZ) | Referenz MiWo"/>
        <s v="7. Holzrahmenbau - Holzständerbauweise (HSB) | Referenz MiWo"/>
        <s v="8. Holzrahmenbau - Holzständerbauweise (HSB) | Stroh"/>
        <s v="0. Pfosten/Riegelsystem aus Aluminium | Referenz"/>
        <s v="9. Stampflehmwand | -"/>
        <s v="3. Holzdecke | Referenz MiWo"/>
        <s v="2. Metalldecke | Referenz XPS"/>
        <s v="1. Stahlbetondecke | Referenz EPS"/>
        <s v="2. Flachdach - Stahlbeton | Referenz PIR"/>
        <s v="1. Schrägdach - Holzkonstruktion | Referenz MiWo"/>
        <s v="1. Außenwand Beton | konv. Beton"/>
        <s v="2. Außenwand Beton | R-Beton"/>
        <s v="1. Heizung | Neu"/>
        <s v="2. Heizung | ReUse"/>
        <s v="1. Innenwand | Trockenbau"/>
        <s v="1. Test | Trockenbau" u="1"/>
        <s v="1. Innenwand | Trockenbauplatte" u="1"/>
        <s v="1. Betonwan | Beton" u="1"/>
        <s v="10. Betonwand | konventionell" u="1"/>
        <s v="11. Betonwand | R-Beton" u="1"/>
        <s v="1. Heizung | Heizung, neu" u="1"/>
        <s v="2. Heizung | Heizung, Re-Use" u="1"/>
        <s v=". Heizkörper | Neu" u="1"/>
        <s v=". Heizkörper | Re-Use" u="1"/>
        <s v="1. Heizkörper | Neu" u="1"/>
        <s v="2. Heizkörper | Wiederverwendet" u="1"/>
        <s v="11. Fassade | Neu" u="1"/>
        <s v="12. Fassade | WV" u="1"/>
        <s v="2. 1 | 2" u="1"/>
        <m u="1"/>
        <s v="07f3cd13-22bb-494d-803a-f0a440fbce7a" u="1"/>
        <s v="29e6c6cf-0552-4e4b-85c7-26a68a625252" u="1"/>
        <s v="f8afef87-5de3-4996-838c-1f2af9ef81df" u="1"/>
        <s v="08dd0308-eebf-4db1-82ee-b340d070c9b9" u="1"/>
        <s v="07423e99-8c7c-4e93-8311-dcf7ae85c41d" u="1"/>
        <s v="5ef0c519-f5b2-4d45-809d-5f417f90e90b" u="1"/>
        <s v="cf963fcb-0e03-48c0-b501-ad0d1e3c22c0" u="1"/>
        <s v="5576bbd6-2ccf-4e79-aa8c-441e7aa428ee" u="1"/>
        <s v="f74a19da-df9a-4462-a632-3b3dc83377b1" u="1"/>
        <s v="1a70d292-a82c-42a6-a378-d3cbd9a9af4e" u="1"/>
        <s v="51a420d8-6366-4e14-83db-ecfe0721774d" u="1"/>
        <s v="d2d1b29f-8dd7-4373-ab2a-de57acd51e72" u="1"/>
        <s v="1d2945e3-856e-4c5f-9894-e75bafad3a76" u="1"/>
        <s v="fa9f6670-3170-4597-92ab-a2fdec7f1451" u="1"/>
        <s v="59622fc0-d719-43bf-a16b-ae924ae0d276" u="1"/>
        <s v="0973f221-2284-4892-ae3d-1b8c2986b6dd" u="1"/>
        <s v="99792cbc-c5f4-4d2d-bc9e-3790509891a0" u="1"/>
        <s v="35be6146-5a80-4a9e-a32d-5d05c03a8d5c" u="1"/>
        <s v="207cde6a-73be-4ffb-972d-30d3d8619fc3" u="1"/>
        <s v="0c5bf8e2-04b8-4bf2-aacd-f4805c5e321c" u="1"/>
        <s v="38051c22-fbd1-4b0e-944a-ae348b8c7695" u="1"/>
        <s v="43e99b8c-90d8-4fcd-90ce-342fb0b7366e" u="1"/>
        <s v="a9a79b38-dc2c-4b51-a3cc-cf9fa0d299e7" u="1"/>
        <s v="56e977b3-d042-4843-b40d-3a33dbb5a555" u="1"/>
        <s v="1be79c83-2ab7-4d30-a44b-8f463376e51e" u="1"/>
        <s v="a758fb6a-7fb1-4cdc-b652-c42cf2f7632c" u="1"/>
        <s v="e9ae96ee-ba8d-420d-9725-7c8abd06e082" u="1"/>
        <s v="9702d9ab-2af2-4fdc-9d99-225583a9ffb7" u="1"/>
        <s v="2c076ee7-3853-4f69-9bf5-8ec265fa43e0" u="1"/>
        <s v="341e2e42-dab2-427b-86f6-a80c701b6071" u="1"/>
        <s v="3ce61a4e-4d91-4b1d-b675-276be05b9225" u="1"/>
        <s v="deb7fe73-3eb8-4f80-937b-7ce3a0a977ed" u="1"/>
        <s v="826fa2c2-c691-4844-83d3-aea0e8a54bcd" u="1"/>
        <s v="8be785fa-5548-4ea5-a2d7-b962675b9eff" u="1"/>
        <s v="test.  | e" u="1"/>
        <s v="2. test | test" u="1"/>
        <s v="2. test | Referenz XPS" u="1"/>
        <s v="test. test | test4" u="1"/>
      </sharedItems>
    </cacheField>
    <cacheField name="Schicht" numFmtId="0">
      <sharedItems containsBlank="1"/>
    </cacheField>
    <cacheField name="Material" numFmtId="0">
      <sharedItems/>
    </cacheField>
    <cacheField name="Material ist Dämmstoff?" numFmtId="0">
      <sharedItems containsBlank="1"/>
    </cacheField>
    <cacheField name="Dicke [mm] Referenz" numFmtId="0">
      <sharedItems containsString="0" containsBlank="1" containsNumber="1" minValue="0.2" maxValue="400"/>
    </cacheField>
    <cacheField name="Dicke [mm] min" numFmtId="0">
      <sharedItems containsString="0" containsBlank="1" containsNumber="1" minValue="0" maxValue="400"/>
    </cacheField>
    <cacheField name="Dicke [mm] max" numFmtId="0">
      <sharedItems containsString="0" containsBlank="1" containsNumber="1" minValue="0" maxValue="400"/>
    </cacheField>
    <cacheField name="Flächenanteil [%]" numFmtId="0">
      <sharedItems containsString="0" containsBlank="1" containsNumber="1" minValue="0.01" maxValue="1"/>
    </cacheField>
    <cacheField name="Länge [m]" numFmtId="0">
      <sharedItems containsString="0" containsBlank="1" containsNumber="1" minValue="0.2" maxValue="1.67"/>
    </cacheField>
    <cacheField name="Volumen [m³/m²] Referenz" numFmtId="0">
      <sharedItems containsString="0" containsBlank="1" containsNumber="1" minValue="0" maxValue="0.4"/>
    </cacheField>
    <cacheField name="Volumen [m³/m²] min" numFmtId="0">
      <sharedItems containsString="0" containsBlank="1" containsNumber="1" minValue="0" maxValue="0.4"/>
    </cacheField>
    <cacheField name="Volumen [m³/m²] max" numFmtId="0">
      <sharedItems containsString="0" containsBlank="1" containsNumber="1" minValue="0" maxValue="0.4"/>
    </cacheField>
    <cacheField name="Masse [kg/m²] Referenz" numFmtId="0">
      <sharedItems containsString="0" containsBlank="1" containsNumber="1" minValue="0.03" maxValue="960"/>
    </cacheField>
    <cacheField name="Masse [kg/m²] min" numFmtId="0">
      <sharedItems containsString="0" containsBlank="1" containsNumber="1" minValue="0" maxValue="960"/>
    </cacheField>
    <cacheField name="Masse [kg/m²] max" numFmtId="0">
      <sharedItems containsString="0" containsBlank="1" containsNumber="1" minValue="0.03" maxValue="960"/>
    </cacheField>
    <cacheField name="Kommentar" numFmtId="0">
      <sharedItems containsBlank="1" containsMixedTypes="1" containsNumber="1" minValue="150.76" maxValue="150.76"/>
    </cacheField>
    <cacheField name="LCA Datensatz" numFmtId="0">
      <sharedItems containsBlank="1"/>
    </cacheField>
    <cacheField name="Rohdichte [kg/m³]" numFmtId="0">
      <sharedItems containsString="0" containsBlank="1" containsNumber="1" minValue="0" maxValue="7850"/>
    </cacheField>
    <cacheField name="Flächengewicht [kg/m²]" numFmtId="0">
      <sharedItems containsString="0" containsBlank="1" containsNumber="1" minValue="0" maxValue="45"/>
    </cacheField>
    <cacheField name="Längengewicht [kg/m]" numFmtId="0">
      <sharedItems containsString="0" containsBlank="1" containsNumber="1" minValue="0" maxValue="1562.5"/>
    </cacheField>
    <cacheField name="lambda_[W/mK]" numFmtId="0">
      <sharedItems containsString="0" containsBlank="1" containsNumber="1" minValue="0" maxValue="50"/>
    </cacheField>
    <cacheField name="R [m²K/W] Referenz" numFmtId="0">
      <sharedItems containsString="0" containsBlank="1" containsNumber="1" minValue="0" maxValue="5000"/>
    </cacheField>
    <cacheField name="RMI [kg Primärrohstoffe/m²] Referenz" numFmtId="0">
      <sharedItems containsSemiMixedTypes="0" containsString="0" containsNumber="1" minValue="0" maxValue="942.1976610438968"/>
    </cacheField>
    <cacheField name="RMI [kg Primärrohstoffe/m²] min" numFmtId="0">
      <sharedItems containsSemiMixedTypes="0" containsString="0" containsNumber="1" minValue="0" maxValue="942.1976610438968"/>
    </cacheField>
    <cacheField name="RMI [kg Primärrohstoffe/m²] max" numFmtId="0">
      <sharedItems containsSemiMixedTypes="0" containsString="0" containsNumber="1" minValue="0" maxValue="942.1976610438968"/>
    </cacheField>
    <cacheField name="TMR [kg Gesamtmaterialaufwand/m²] Referenz" numFmtId="0">
      <sharedItems containsSemiMixedTypes="0" containsString="0" containsNumber="1" minValue="0" maxValue="1455.4725517806539"/>
    </cacheField>
    <cacheField name="TMR [kg Gesamtmaterialaufwand/m²] min" numFmtId="0">
      <sharedItems containsSemiMixedTypes="0" containsString="0" containsNumber="1" minValue="0" maxValue="1455.4725517806539"/>
    </cacheField>
    <cacheField name="TMR [kg Gesamtmaterialaufwand/m²] max" numFmtId="0">
      <sharedItems containsSemiMixedTypes="0" containsString="0" containsNumber="1" minValue="0" maxValue="1455.4725517806539"/>
    </cacheField>
    <cacheField name="GWP [kg CO2-Äqu./m²] Referenz" numFmtId="0">
      <sharedItems containsSemiMixedTypes="0" containsString="0" containsNumber="1" minValue="0" maxValue="147.92889814445365"/>
    </cacheField>
    <cacheField name="GWP [kg CO2-Äqu./m²] min" numFmtId="0">
      <sharedItems containsSemiMixedTypes="0" containsString="0" containsNumber="1" minValue="0" maxValue="147.92889814445365"/>
    </cacheField>
    <cacheField name="GWP [kg CO2-Äqu./m²] max" numFmtId="0">
      <sharedItems containsSemiMixedTypes="0" containsString="0" containsNumber="1" minValue="0" maxValue="147.92889814445365"/>
    </cacheField>
    <cacheField name="PENRT [MJ/m²] Referenz" numFmtId="0">
      <sharedItems containsSemiMixedTypes="0" containsString="0" containsNumber="1" minValue="0" maxValue="2268.8821976397385"/>
    </cacheField>
    <cacheField name="PENRT [MJ/m²] min" numFmtId="0">
      <sharedItems containsSemiMixedTypes="0" containsString="0" containsNumber="1" minValue="0" maxValue="2268.8821976397385"/>
    </cacheField>
    <cacheField name="PENRT [MJ/m²] max" numFmtId="0">
      <sharedItems containsSemiMixedTypes="0" containsString="0" containsNumber="1" minValue="0" maxValue="2268.8821976397385"/>
    </cacheField>
    <cacheField name="PERT [MJ/m²] Referenz" numFmtId="0">
      <sharedItems containsNonDate="0" containsString="0" containsBlank="1"/>
    </cacheField>
    <cacheField name="PERT [MJ/m²] min" numFmtId="0">
      <sharedItems containsNonDate="0" containsString="0" containsBlank="1"/>
    </cacheField>
    <cacheField name="PERT [MJ/m²] max" numFmtId="0">
      <sharedItems containsNonDate="0" containsString="0" containsBlank="1"/>
    </cacheField>
    <cacheField name="WDP [m² weighted water/m²] Referenz" numFmtId="0">
      <sharedItems containsSemiMixedTypes="0" containsString="0" containsNumber="1" minValue="0" maxValue="86.198059095900007"/>
    </cacheField>
    <cacheField name="WDP [m² weighted water/m²] min" numFmtId="0">
      <sharedItems containsSemiMixedTypes="0" containsString="0" containsNumber="1" minValue="0" maxValue="86.198059095900007"/>
    </cacheField>
    <cacheField name="WDP [m² weighted water/m²] max" numFmtId="0">
      <sharedItems containsSemiMixedTypes="0" containsString="0" containsNumber="1" minValue="0" maxValue="86.198059095900007"/>
    </cacheField>
    <cacheField name="Normierter Wert Referenz" numFmtId="0">
      <sharedItems containsSemiMixedTypes="0" containsString="0" containsNumber="1" minValue="0" maxValue="4.6508343456039054E-2"/>
    </cacheField>
    <cacheField name="Normierter Wert min" numFmtId="0">
      <sharedItems containsSemiMixedTypes="0" containsString="0" containsNumber="1" minValue="0" maxValue="4.6508343456039054E-2"/>
    </cacheField>
    <cacheField name="Normierter Wert max" numFmtId="0">
      <sharedItems containsSemiMixedTypes="0" containsString="0" containsNumber="1" minValue="0" maxValue="4.6508343456039054E-2"/>
    </cacheField>
    <cacheField name="Prüfung id" numFmtId="0">
      <sharedItems containsBlank="1"/>
    </cacheField>
    <cacheField name="ist Dämmstoff?" numFmtId="0">
      <sharedItems containsBlank="1"/>
    </cacheField>
    <cacheField name="Länge [m/m²]" numFmtId="0">
      <sharedItems containsString="0" containsBlank="1" containsNumber="1" containsInteger="1" minValue="1" maxValue="1"/>
    </cacheField>
    <cacheField name="Rohdichte [kg/m³], Eingabe " numFmtId="0">
      <sharedItems containsNonDate="0" containsString="0" containsBlank="1"/>
    </cacheField>
    <cacheField name="Flächengewicht [kg/m²], Eingabe " numFmtId="0">
      <sharedItems containsString="0" containsBlank="1" containsNumber="1" containsInteger="1" minValue="30" maxValue="30"/>
    </cacheField>
    <cacheField name="Längengewicht [kg/m], Eingabe " numFmtId="0">
      <sharedItems containsNonDate="0" containsString="0" containsBlank="1"/>
    </cacheField>
    <cacheField name="lambda_[W/mK], Eingabe " numFmtId="0">
      <sharedItems containsNonDate="0" containsString="0" containsBlank="1"/>
    </cacheField>
    <cacheField name="Modul" numFmtId="0">
      <sharedItems containsMixedTypes="1" containsNumber="1" minValue="0" maxValue="0.36" count="19">
        <s v="A1-A3"/>
        <s v="A4"/>
        <n v="0.18" u="1"/>
        <n v="0.12" u="1"/>
        <n v="0.02" u="1"/>
        <n v="0.24" u="1"/>
        <n v="0.01" u="1"/>
        <n v="0.36" u="1"/>
        <n v="0.1" u="1"/>
        <n v="0.05" u="1"/>
        <n v="0.19" u="1"/>
        <n v="0.03" u="1"/>
        <n v="0.3" u="1"/>
        <n v="0.06" u="1"/>
        <n v="0" u="1"/>
        <n v="0.04" u="1"/>
        <n v="0.14000000000000001" u="1"/>
        <n v="0.08" u="1"/>
        <n v="0.2" u="1"/>
      </sharedItems>
    </cacheField>
    <cacheField name="Transportdistanz.Voreinstellung" numFmtId="0">
      <sharedItems containsString="0" containsBlank="1" containsNumber="1" containsInteger="1" minValue="50" maxValue="200"/>
    </cacheField>
    <cacheField name="Transport.Transport-Modus" numFmtId="0">
      <sharedItems containsBlank="1"/>
    </cacheField>
  </cacheFields>
  <extLst>
    <ext xmlns:x14="http://schemas.microsoft.com/office/spreadsheetml/2009/9/main" uri="{725AE2AE-9491-48be-B2B4-4EB974FC3084}">
      <x14:pivotCacheDefinition pivotCacheId="186940731"/>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72">
  <r>
    <x v="0"/>
    <s v="Stahlbeton (R-Beton) - Bodenplatte"/>
    <n v="2"/>
    <s v="Referenz XPS"/>
    <x v="0"/>
    <s v="Sauberkeitsschicht"/>
    <s v="Beton C20/25"/>
    <s v="nein"/>
    <n v="50"/>
    <n v="50"/>
    <n v="50"/>
    <n v="1"/>
    <m/>
    <n v="0.05"/>
    <n v="0.05"/>
    <n v="0.05"/>
    <n v="118"/>
    <n v="118"/>
    <n v="118"/>
    <s v=" "/>
    <s v="9702d9ab-2af2-4fdc-9d99-225583a9ffb7"/>
    <n v="2360"/>
    <n v="0"/>
    <n v="0"/>
    <n v="1.4"/>
    <n v="35.714285714285715"/>
    <n v="117.7747076304871"/>
    <n v="117.7747076304871"/>
    <n v="117.7747076304871"/>
    <n v="122.11724076140833"/>
    <n v="122.11724076140833"/>
    <n v="122.11724076140833"/>
    <n v="9.9692403987468108"/>
    <n v="9.9692403987468108"/>
    <n v="9.9692403987468108"/>
    <n v="78.09993506093781"/>
    <n v="78.09993506093781"/>
    <n v="78.09993506093781"/>
    <m/>
    <m/>
    <m/>
    <n v="4.9409832398411284"/>
    <n v="4.9409832398411284"/>
    <n v="4.9409832398411284"/>
    <n v="5.1277125486838444E-3"/>
    <n v="5.1277125486838444E-3"/>
    <n v="5.1277125486838444E-3"/>
    <m/>
    <m/>
    <m/>
    <m/>
    <m/>
    <m/>
    <m/>
    <x v="0"/>
    <m/>
    <m/>
  </r>
  <r>
    <x v="0"/>
    <s v="Stahlbeton (R-Beton) - Bodenplatte"/>
    <n v="2"/>
    <s v="Referenz XPS"/>
    <x v="0"/>
    <s v="Trennlage"/>
    <s v="PE Folie"/>
    <s v="nein"/>
    <n v="0.2"/>
    <n v="0.2"/>
    <n v="0.2"/>
    <n v="1"/>
    <m/>
    <n v="0"/>
    <n v="0"/>
    <n v="0"/>
    <n v="0.28000000000000003"/>
    <n v="0.28000000000000003"/>
    <n v="0.28000000000000003"/>
    <s v=" "/>
    <s v="99792cbc-c5f4-4d2d-bc9e-3790509891a0"/>
    <n v="1390"/>
    <n v="0.2"/>
    <n v="0"/>
    <n v="0.17"/>
    <n v="1.1764705882352942"/>
    <n v="0.56566490833487659"/>
    <n v="0.56566490833487659"/>
    <n v="0.56566490833487659"/>
    <n v="0.70605426967153773"/>
    <n v="0.70605426967153773"/>
    <n v="0.70605426967153773"/>
    <n v="0.55327120946390662"/>
    <n v="0.55327120946390662"/>
    <n v="0.55327120946390662"/>
    <n v="20.491472968565958"/>
    <n v="20.491472968565958"/>
    <n v="20.491472968565958"/>
    <m/>
    <m/>
    <m/>
    <n v="0.28989199614304856"/>
    <n v="0.28989199614304856"/>
    <n v="0.28989199614304856"/>
    <n v="2.3771240070454252E-4"/>
    <n v="2.3771240070454252E-4"/>
    <n v="2.3771240070454252E-4"/>
    <m/>
    <m/>
    <m/>
    <m/>
    <m/>
    <m/>
    <m/>
    <x v="0"/>
    <m/>
    <m/>
  </r>
  <r>
    <x v="0"/>
    <s v="Stahlbeton (R-Beton) - Bodenplatte"/>
    <n v="2"/>
    <s v="Referenz XPS"/>
    <x v="0"/>
    <s v="Wärmedämmung, Bodenplatte, XPS"/>
    <s v="Extrudierter Polystyrol Dämmstoff (XPS)"/>
    <s v="ja"/>
    <n v="120"/>
    <n v="80"/>
    <n v="200"/>
    <n v="1"/>
    <m/>
    <n v="0.12"/>
    <n v="0.08"/>
    <n v="0.2"/>
    <n v="3.84"/>
    <n v="2.56"/>
    <n v="6.4"/>
    <s v=" "/>
    <s v="43e99b8c-90d8-4fcd-90ce-342fb0b7366e"/>
    <n v="32"/>
    <n v="0"/>
    <n v="0"/>
    <n v="3.6999999999999998E-2"/>
    <n v="3243.2432432432433"/>
    <n v="10.213343560521063"/>
    <n v="6.8088957070140417"/>
    <n v="17.022239267535106"/>
    <n v="12.591251360869862"/>
    <n v="8.3941675739132418"/>
    <n v="20.985418934783105"/>
    <n v="15.63328121055479"/>
    <n v="10.422187473703193"/>
    <n v="26.055468684257985"/>
    <n v="362.28741817283174"/>
    <n v="241.52494544855449"/>
    <n v="603.81236362138623"/>
    <m/>
    <m/>
    <m/>
    <n v="12.634295020674815"/>
    <n v="8.4228633471165431"/>
    <n v="21.057158367791359"/>
    <n v="5.4050244067576168E-3"/>
    <n v="3.6033496045050784E-3"/>
    <n v="9.0083740112626952E-3"/>
    <m/>
    <m/>
    <m/>
    <m/>
    <m/>
    <m/>
    <m/>
    <x v="0"/>
    <m/>
    <m/>
  </r>
  <r>
    <x v="0"/>
    <s v="Stahlbeton (R-Beton) - Bodenplatte"/>
    <n v="2"/>
    <s v="Referenz XPS"/>
    <x v="0"/>
    <s v="R-Beton, C20/25"/>
    <s v="R-Beton C20/25 mit 25% rezyklierter Gesteinskörnung"/>
    <s v="nein"/>
    <n v="400"/>
    <n v="400"/>
    <n v="400"/>
    <n v="1"/>
    <m/>
    <n v="0.4"/>
    <n v="0.4"/>
    <n v="0.4"/>
    <n v="960"/>
    <n v="960"/>
    <n v="960"/>
    <s v=" "/>
    <s v="ded82f5b-0581-4d04-ad83-f9cebaa9a04b"/>
    <n v="2400"/>
    <n v="0"/>
    <n v="0"/>
    <n v="1.4"/>
    <n v="285.71428571428572"/>
    <n v="726.86732249911267"/>
    <n v="726.86732249911267"/>
    <n v="726.86732249911267"/>
    <n v="788.55133012764065"/>
    <n v="788.55133012764065"/>
    <n v="788.55133012764065"/>
    <n v="81.105684599974055"/>
    <n v="81.105684599974055"/>
    <n v="81.105684599974055"/>
    <n v="539.73189559411253"/>
    <n v="539.73189559411253"/>
    <n v="539.73189559411253"/>
    <m/>
    <m/>
    <m/>
    <n v="41.234731790892837"/>
    <n v="41.234731790892837"/>
    <n v="41.234731790892837"/>
    <n v="3.478898463968548E-2"/>
    <n v="3.478898463968548E-2"/>
    <n v="3.478898463968548E-2"/>
    <m/>
    <m/>
    <m/>
    <m/>
    <m/>
    <m/>
    <m/>
    <x v="0"/>
    <m/>
    <m/>
  </r>
  <r>
    <x v="0"/>
    <s v="Stahlbeton (R-Beton) - Bodenplatte"/>
    <n v="2"/>
    <s v="Referenz XPS"/>
    <x v="0"/>
    <s v="Bewehrung"/>
    <s v="Bewehrungsstahl"/>
    <s v="nein"/>
    <n v="400"/>
    <n v="400"/>
    <n v="400"/>
    <n v="0.01"/>
    <m/>
    <n v="0"/>
    <n v="0"/>
    <n v="0"/>
    <n v="18.12"/>
    <n v="18.12"/>
    <n v="18.12"/>
    <s v="Bewehrungsstahl 45 kg/m³"/>
    <s v="e9ae96ee-ba8d-420d-9725-7c8abd06e082"/>
    <n v="7850"/>
    <n v="0"/>
    <n v="0"/>
    <n v="50"/>
    <n v="8"/>
    <n v="94.753878319826995"/>
    <n v="94.753878319826995"/>
    <n v="94.753878319826995"/>
    <n v="149.54526776437891"/>
    <n v="149.54526776437891"/>
    <n v="149.54526776437891"/>
    <n v="39.256645672482009"/>
    <n v="39.256645672482009"/>
    <n v="39.256645672482009"/>
    <n v="553.59672865798018"/>
    <n v="553.59672865798018"/>
    <n v="553.59672865798018"/>
    <m/>
    <m/>
    <m/>
    <n v="16.557608956463486"/>
    <n v="16.557608956463486"/>
    <n v="16.557608956463486"/>
    <n v="1.1581497655905205E-2"/>
    <n v="1.1581497655905205E-2"/>
    <n v="1.1581497655905205E-2"/>
    <m/>
    <m/>
    <m/>
    <m/>
    <m/>
    <m/>
    <m/>
    <x v="0"/>
    <m/>
    <m/>
  </r>
  <r>
    <x v="0"/>
    <s v="Stahlbeton (R-Beton) - Bodenplatte"/>
    <n v="2"/>
    <s v="Referenz XPS"/>
    <x v="0"/>
    <s v="Abdichtung"/>
    <s v="Bitumenbahnn"/>
    <s v="nein"/>
    <n v="4.5"/>
    <n v="4.5"/>
    <n v="4.5"/>
    <n v="1"/>
    <m/>
    <n v="0"/>
    <n v="0"/>
    <n v="0"/>
    <n v="5.4"/>
    <n v="5.4"/>
    <n v="5.4"/>
    <s v=" "/>
    <s v="73d1c1b7-d509-44c8-8518-848babdd7c01"/>
    <n v="1200"/>
    <n v="5"/>
    <n v="0"/>
    <n v="0.215"/>
    <n v="20.930232558139537"/>
    <n v="8.5845268188329023"/>
    <n v="8.5845268188329023"/>
    <n v="8.5845268188329023"/>
    <n v="10.861523684728702"/>
    <n v="10.861523684728702"/>
    <n v="10.861523684728702"/>
    <n v="3.0978425180957716"/>
    <n v="3.0978425180957716"/>
    <n v="3.0978425180957716"/>
    <n v="205.89156271166578"/>
    <n v="205.89156271166578"/>
    <n v="205.89156271166578"/>
    <m/>
    <m/>
    <m/>
    <n v="1.0439895220025921"/>
    <n v="1.0439895220025921"/>
    <n v="1.0439895220025921"/>
    <n v="2.0788073179691066E-3"/>
    <n v="2.0788073179691066E-3"/>
    <n v="2.0788073179691066E-3"/>
    <m/>
    <m/>
    <m/>
    <m/>
    <m/>
    <m/>
    <m/>
    <x v="0"/>
    <m/>
    <m/>
  </r>
  <r>
    <x v="0"/>
    <s v="Stahlbeton (R-Beton) - Bodenplatte"/>
    <n v="2"/>
    <s v="Referenz XPS"/>
    <x v="0"/>
    <s v="Estrich"/>
    <s v="Zementestrich"/>
    <s v="nein"/>
    <n v="150"/>
    <n v="150"/>
    <n v="150"/>
    <n v="1"/>
    <m/>
    <n v="0.15"/>
    <n v="0.15"/>
    <n v="0.15"/>
    <n v="360"/>
    <n v="360"/>
    <n v="360"/>
    <s v=" "/>
    <s v="0973f221-2284-4892-ae3d-1b8c2986b6dd"/>
    <n v="2400"/>
    <n v="0"/>
    <n v="0"/>
    <n v="1.4"/>
    <n v="107.14285714285715"/>
    <n v="434.38885675165795"/>
    <n v="434.38885675165795"/>
    <n v="434.38885675165795"/>
    <n v="465.59575440345964"/>
    <n v="465.59575440345964"/>
    <n v="465.59575440345964"/>
    <n v="83.710457744599083"/>
    <n v="83.710457744599083"/>
    <n v="83.710457744599083"/>
    <n v="646.64678231362802"/>
    <n v="646.64678231362802"/>
    <n v="646.64678231362802"/>
    <m/>
    <m/>
    <m/>
    <n v="12.044908075038624"/>
    <n v="12.044908075038624"/>
    <n v="12.044908075038624"/>
    <n v="2.5192635974851219E-2"/>
    <n v="2.5192635974851219E-2"/>
    <n v="2.5192635974851219E-2"/>
    <m/>
    <m/>
    <m/>
    <m/>
    <m/>
    <m/>
    <m/>
    <x v="0"/>
    <m/>
    <m/>
  </r>
  <r>
    <x v="0"/>
    <s v="Stahlbeton-Bodenplatte"/>
    <n v="1"/>
    <s v="Referenz XPS"/>
    <x v="1"/>
    <s v="Sauberkeitsschicht"/>
    <s v="Beton C20/25"/>
    <s v="nein"/>
    <n v="50"/>
    <n v="50"/>
    <n v="50"/>
    <n v="1"/>
    <m/>
    <n v="0.05"/>
    <n v="0.05"/>
    <n v="0.05"/>
    <n v="118"/>
    <n v="118"/>
    <n v="118"/>
    <s v=" "/>
    <s v="9702d9ab-2af2-4fdc-9d99-225583a9ffb7"/>
    <n v="2360"/>
    <n v="0"/>
    <n v="0"/>
    <n v="1.4"/>
    <n v="35.714285714285715"/>
    <n v="117.7747076304871"/>
    <n v="117.7747076304871"/>
    <n v="117.7747076304871"/>
    <n v="122.11724076140833"/>
    <n v="122.11724076140833"/>
    <n v="122.11724076140833"/>
    <n v="9.9692403987468108"/>
    <n v="9.9692403987468108"/>
    <n v="9.9692403987468108"/>
    <n v="78.09993506093781"/>
    <n v="78.09993506093781"/>
    <n v="78.09993506093781"/>
    <m/>
    <m/>
    <m/>
    <n v="4.9409832398411284"/>
    <n v="4.9409832398411284"/>
    <n v="4.9409832398411284"/>
    <n v="5.1277125486838444E-3"/>
    <n v="5.1277125486838444E-3"/>
    <n v="5.1277125486838444E-3"/>
    <m/>
    <m/>
    <m/>
    <m/>
    <m/>
    <m/>
    <m/>
    <x v="0"/>
    <m/>
    <m/>
  </r>
  <r>
    <x v="0"/>
    <s v="Stahlbeton-Bodenplatte"/>
    <n v="1"/>
    <s v="Referenz XPS"/>
    <x v="1"/>
    <s v="Trennlage"/>
    <s v="PE Folie"/>
    <s v="nein"/>
    <n v="0.2"/>
    <n v="0.2"/>
    <n v="0.2"/>
    <n v="1"/>
    <m/>
    <n v="0"/>
    <n v="0"/>
    <n v="0"/>
    <n v="0.28000000000000003"/>
    <n v="0.28000000000000003"/>
    <n v="0.28000000000000003"/>
    <s v=" "/>
    <s v="99792cbc-c5f4-4d2d-bc9e-3790509891a0"/>
    <n v="1390"/>
    <n v="0.2"/>
    <n v="0"/>
    <n v="0.17"/>
    <n v="1.1764705882352942"/>
    <n v="0.56566490833487659"/>
    <n v="0.56566490833487659"/>
    <n v="0.56566490833487659"/>
    <n v="0.70605426967153773"/>
    <n v="0.70605426967153773"/>
    <n v="0.70605426967153773"/>
    <n v="0.55327120946390662"/>
    <n v="0.55327120946390662"/>
    <n v="0.55327120946390662"/>
    <n v="20.491472968565958"/>
    <n v="20.491472968565958"/>
    <n v="20.491472968565958"/>
    <m/>
    <m/>
    <m/>
    <n v="0.28989199614304856"/>
    <n v="0.28989199614304856"/>
    <n v="0.28989199614304856"/>
    <n v="2.3771240070454252E-4"/>
    <n v="2.3771240070454252E-4"/>
    <n v="2.3771240070454252E-4"/>
    <m/>
    <m/>
    <m/>
    <m/>
    <m/>
    <m/>
    <m/>
    <x v="0"/>
    <m/>
    <m/>
  </r>
  <r>
    <x v="0"/>
    <s v="Stahlbeton-Bodenplatte"/>
    <n v="1"/>
    <s v="Referenz XPS"/>
    <x v="1"/>
    <s v="Wärmedämmung, Bodenplatte, XPS"/>
    <s v="Extrudierter Polystyrol Dämmstoff (XPS)"/>
    <s v="ja"/>
    <n v="120"/>
    <n v="80"/>
    <n v="200"/>
    <n v="1"/>
    <m/>
    <n v="0.12"/>
    <n v="0.08"/>
    <n v="0.2"/>
    <n v="3.84"/>
    <n v="2.56"/>
    <n v="6.4"/>
    <s v=" "/>
    <s v="43e99b8c-90d8-4fcd-90ce-342fb0b7366e"/>
    <n v="32"/>
    <n v="0"/>
    <n v="0"/>
    <n v="3.6999999999999998E-2"/>
    <n v="3243.2432432432433"/>
    <n v="10.213343560521063"/>
    <n v="6.8088957070140417"/>
    <n v="17.022239267535106"/>
    <n v="12.591251360869862"/>
    <n v="8.3941675739132418"/>
    <n v="20.985418934783105"/>
    <n v="15.63328121055479"/>
    <n v="10.422187473703193"/>
    <n v="26.055468684257985"/>
    <n v="362.28741817283174"/>
    <n v="241.52494544855449"/>
    <n v="603.81236362138623"/>
    <m/>
    <m/>
    <m/>
    <n v="12.634295020674815"/>
    <n v="8.4228633471165431"/>
    <n v="21.057158367791359"/>
    <n v="5.4050244067576168E-3"/>
    <n v="3.6033496045050784E-3"/>
    <n v="9.0083740112626952E-3"/>
    <m/>
    <m/>
    <m/>
    <m/>
    <m/>
    <m/>
    <m/>
    <x v="0"/>
    <m/>
    <m/>
  </r>
  <r>
    <x v="0"/>
    <s v="Stahlbeton-Bodenplatte"/>
    <n v="1"/>
    <s v="Referenz XPS"/>
    <x v="1"/>
    <s v="Beton, C20/25"/>
    <s v="Beton C20/25"/>
    <s v="nein"/>
    <n v="400"/>
    <n v="400"/>
    <n v="400"/>
    <n v="1"/>
    <m/>
    <n v="0.4"/>
    <n v="0.4"/>
    <n v="0.4"/>
    <n v="944"/>
    <n v="944"/>
    <n v="944"/>
    <s v=" "/>
    <s v="9702d9ab-2af2-4fdc-9d99-225583a9ffb7"/>
    <n v="2360"/>
    <n v="0"/>
    <n v="0"/>
    <n v="1.4"/>
    <n v="285.71428571428572"/>
    <n v="942.1976610438968"/>
    <n v="942.1976610438968"/>
    <n v="942.1976610438968"/>
    <n v="976.9379260912666"/>
    <n v="976.9379260912666"/>
    <n v="976.9379260912666"/>
    <n v="79.753923189974486"/>
    <n v="79.753923189974486"/>
    <n v="79.753923189974486"/>
    <n v="624.79948048750248"/>
    <n v="624.79948048750248"/>
    <n v="624.79948048750248"/>
    <m/>
    <m/>
    <m/>
    <n v="39.527865918729027"/>
    <n v="39.527865918729027"/>
    <n v="39.527865918729027"/>
    <n v="4.1021700389470755E-2"/>
    <n v="4.1021700389470755E-2"/>
    <n v="4.1021700389470755E-2"/>
    <m/>
    <m/>
    <m/>
    <m/>
    <m/>
    <m/>
    <m/>
    <x v="0"/>
    <m/>
    <m/>
  </r>
  <r>
    <x v="0"/>
    <s v="Stahlbeton-Bodenplatte"/>
    <n v="1"/>
    <s v="Referenz XPS"/>
    <x v="1"/>
    <s v="Bewehrung"/>
    <s v="Bewehrungsstahl"/>
    <s v="nein"/>
    <n v="400"/>
    <n v="400"/>
    <n v="400"/>
    <n v="0.01"/>
    <m/>
    <n v="0"/>
    <n v="0"/>
    <n v="0"/>
    <n v="18.12"/>
    <n v="18.12"/>
    <n v="18.12"/>
    <s v="Bewehrungsstahl 45 kg/m³"/>
    <s v="e9ae96ee-ba8d-420d-9725-7c8abd06e082"/>
    <n v="7850"/>
    <n v="0"/>
    <n v="0"/>
    <n v="50"/>
    <n v="8"/>
    <n v="94.753878319826995"/>
    <n v="94.753878319826995"/>
    <n v="94.753878319826995"/>
    <n v="149.54526776437891"/>
    <n v="149.54526776437891"/>
    <n v="149.54526776437891"/>
    <n v="39.256645672482009"/>
    <n v="39.256645672482009"/>
    <n v="39.256645672482009"/>
    <n v="553.59672865798018"/>
    <n v="553.59672865798018"/>
    <n v="553.59672865798018"/>
    <m/>
    <m/>
    <m/>
    <n v="16.557608956463486"/>
    <n v="16.557608956463486"/>
    <n v="16.557608956463486"/>
    <n v="1.1581497655905205E-2"/>
    <n v="1.1581497655905205E-2"/>
    <n v="1.1581497655905205E-2"/>
    <m/>
    <m/>
    <m/>
    <m/>
    <m/>
    <m/>
    <m/>
    <x v="0"/>
    <m/>
    <m/>
  </r>
  <r>
    <x v="0"/>
    <s v="Stahlbeton-Bodenplatte"/>
    <n v="1"/>
    <s v="Referenz XPS"/>
    <x v="1"/>
    <s v="Abdichtung"/>
    <s v="Bitumenbahnn"/>
    <s v="nein"/>
    <n v="4.5"/>
    <n v="4.5"/>
    <n v="4.5"/>
    <n v="1"/>
    <m/>
    <n v="0"/>
    <n v="0"/>
    <n v="0"/>
    <n v="5.4"/>
    <n v="5.4"/>
    <n v="5.4"/>
    <s v=" "/>
    <s v="73d1c1b7-d509-44c8-8518-848babdd7c01"/>
    <n v="1200"/>
    <n v="5"/>
    <n v="0"/>
    <n v="0.215"/>
    <n v="20.930232558139537"/>
    <n v="8.5845268188329023"/>
    <n v="8.5845268188329023"/>
    <n v="8.5845268188329023"/>
    <n v="10.861523684728702"/>
    <n v="10.861523684728702"/>
    <n v="10.861523684728702"/>
    <n v="3.0978425180957716"/>
    <n v="3.0978425180957716"/>
    <n v="3.0978425180957716"/>
    <n v="205.89156271166578"/>
    <n v="205.89156271166578"/>
    <n v="205.89156271166578"/>
    <m/>
    <m/>
    <m/>
    <n v="1.0439895220025921"/>
    <n v="1.0439895220025921"/>
    <n v="1.0439895220025921"/>
    <n v="2.0788073179691066E-3"/>
    <n v="2.0788073179691066E-3"/>
    <n v="2.0788073179691066E-3"/>
    <m/>
    <m/>
    <m/>
    <m/>
    <m/>
    <m/>
    <m/>
    <x v="0"/>
    <m/>
    <m/>
  </r>
  <r>
    <x v="0"/>
    <s v="Stahlbeton-Bodenplatte"/>
    <n v="1"/>
    <s v="Referenz XPS"/>
    <x v="1"/>
    <s v="Estrich"/>
    <s v="Zementestrich"/>
    <s v="nein"/>
    <n v="150"/>
    <n v="150"/>
    <n v="150"/>
    <n v="1"/>
    <m/>
    <n v="0.15"/>
    <n v="0.15"/>
    <n v="0.15"/>
    <n v="360"/>
    <n v="360"/>
    <n v="360"/>
    <s v=" "/>
    <s v="0973f221-2284-4892-ae3d-1b8c2986b6dd"/>
    <n v="2400"/>
    <n v="0"/>
    <n v="0"/>
    <n v="1.4"/>
    <n v="107.14285714285715"/>
    <n v="434.38885675165795"/>
    <n v="434.38885675165795"/>
    <n v="434.38885675165795"/>
    <n v="465.59575440345964"/>
    <n v="465.59575440345964"/>
    <n v="465.59575440345964"/>
    <n v="83.710457744599083"/>
    <n v="83.710457744599083"/>
    <n v="83.710457744599083"/>
    <n v="646.64678231362802"/>
    <n v="646.64678231362802"/>
    <n v="646.64678231362802"/>
    <m/>
    <m/>
    <m/>
    <n v="12.044908075038624"/>
    <n v="12.044908075038624"/>
    <n v="12.044908075038624"/>
    <n v="2.5192635974851219E-2"/>
    <n v="2.5192635974851219E-2"/>
    <n v="2.5192635974851219E-2"/>
    <m/>
    <m/>
    <m/>
    <m/>
    <m/>
    <m/>
    <m/>
    <x v="0"/>
    <m/>
    <m/>
  </r>
  <r>
    <x v="1"/>
    <s v="Mauerwerk, einschalig - Kalksandstein (KS) mit Dämmung"/>
    <n v="1"/>
    <s v="Referenz EPS"/>
    <x v="2"/>
    <s v="Dämmung EPS, Außenwand"/>
    <s v="Expandiertes Polystyrol (EPS)"/>
    <s v="ja"/>
    <n v="140"/>
    <n v="100"/>
    <n v="220"/>
    <n v="1"/>
    <m/>
    <n v="0.14000000000000001"/>
    <n v="0.1"/>
    <n v="0.22"/>
    <n v="3.5"/>
    <n v="2.5"/>
    <n v="5.5"/>
    <s v="EPS, 0,035 W/Km"/>
    <s v="1be79c83-2ab7-4d30-a44b-8f463376e51e"/>
    <n v="25"/>
    <n v="0"/>
    <n v="0"/>
    <n v="0.03"/>
    <n v="4666.666666666667"/>
    <n v="7.3511986989897053"/>
    <n v="5.2508562135640746"/>
    <n v="11.551883669840965"/>
    <n v="8.6144965316856617"/>
    <n v="6.1532118083469003"/>
    <n v="13.537065978363181"/>
    <n v="12.855238483464827"/>
    <n v="9.1823132024748748"/>
    <n v="20.201089045444725"/>
    <n v="301.75863394941285"/>
    <n v="215.54188139243774"/>
    <n v="474.19213906336302"/>
    <m/>
    <m/>
    <m/>
    <n v="9.2672296315016975"/>
    <n v="6.6194497367869252"/>
    <n v="14.562789420931235"/>
    <n v="4.3440498929561335E-3"/>
    <n v="3.1028927806829526E-3"/>
    <n v="6.8263641175024953E-3"/>
    <m/>
    <m/>
    <m/>
    <m/>
    <m/>
    <m/>
    <m/>
    <x v="0"/>
    <m/>
    <m/>
  </r>
  <r>
    <x v="1"/>
    <s v="Mauerwerk, einschalig - Kalksandstein (KS) mit Dämmung"/>
    <n v="1"/>
    <s v="Referenz EPS"/>
    <x v="2"/>
    <s v="Putz"/>
    <s v="Kalkputz"/>
    <s v="nein"/>
    <n v="15"/>
    <n v="15"/>
    <n v="15"/>
    <n v="1"/>
    <m/>
    <n v="0.02"/>
    <n v="0.02"/>
    <n v="0.02"/>
    <n v="15.75"/>
    <n v="15.75"/>
    <n v="15.75"/>
    <s v="Kalkputz"/>
    <s v="07f3cd13-22bb-494d-803a-f0a440fbce7a"/>
    <n v="1050"/>
    <n v="0"/>
    <n v="0"/>
    <n v="1"/>
    <n v="15"/>
    <n v="19.102641975961582"/>
    <n v="19.102641975961582"/>
    <n v="19.102641975961582"/>
    <n v="19.894952377912816"/>
    <n v="19.894952377912816"/>
    <n v="19.894952377912816"/>
    <n v="1.8596920563101473"/>
    <n v="1.8596920563101473"/>
    <n v="1.8596920563101473"/>
    <n v="26.945451563913227"/>
    <n v="26.945451563913227"/>
    <n v="26.945451563913227"/>
    <m/>
    <m/>
    <m/>
    <n v="1.9586296940800589"/>
    <n v="1.9586296940800589"/>
    <n v="1.9586296940800589"/>
    <n v="1.0580831622736952E-3"/>
    <n v="1.0580831622736952E-3"/>
    <n v="1.0580831622736952E-3"/>
    <m/>
    <m/>
    <m/>
    <m/>
    <m/>
    <m/>
    <m/>
    <x v="0"/>
    <m/>
    <m/>
  </r>
  <r>
    <x v="1"/>
    <s v="Mauerwerk, einschalig - Kalksandstein (KS) mit Dämmung"/>
    <n v="1"/>
    <s v="Referenz EPS"/>
    <x v="2"/>
    <s v="Kalksandstein"/>
    <s v="Kalksandstein"/>
    <s v="nein"/>
    <n v="175"/>
    <n v="175"/>
    <n v="175"/>
    <n v="1"/>
    <m/>
    <n v="0.18"/>
    <n v="0.18"/>
    <n v="0.18"/>
    <n v="350"/>
    <n v="350"/>
    <n v="350"/>
    <s v="1800 kg/m³"/>
    <s v="29e6c6cf-0552-4e4b-85c7-26a68a625252"/>
    <n v="2000"/>
    <n v="0"/>
    <n v="0"/>
    <n v="0.9"/>
    <n v="194.44444444444443"/>
    <n v="426.25431281493201"/>
    <n v="426.25431281493201"/>
    <n v="426.25431281493201"/>
    <n v="435.89904950309898"/>
    <n v="435.89904950309898"/>
    <n v="435.89904950309898"/>
    <n v="51.831618606228297"/>
    <n v="51.831618606228297"/>
    <n v="51.831618606228297"/>
    <n v="407.24317030097745"/>
    <n v="407.24317030097745"/>
    <n v="407.24317030097745"/>
    <m/>
    <m/>
    <m/>
    <n v="22.186027049375522"/>
    <n v="22.186027049375522"/>
    <n v="22.186027049375522"/>
    <n v="2.1260334404191505E-2"/>
    <n v="2.1260334404191505E-2"/>
    <n v="2.1260334404191505E-2"/>
    <m/>
    <m/>
    <m/>
    <m/>
    <m/>
    <m/>
    <m/>
    <x v="0"/>
    <m/>
    <m/>
  </r>
  <r>
    <x v="1"/>
    <s v="Mauerwerk, einschalig - Hochlochziegel (HLZ)"/>
    <n v="4"/>
    <s v="Referenz MiWo"/>
    <x v="3"/>
    <s v="Dämmung MW, Außenwand"/>
    <s v="Mineralwolle"/>
    <s v="ja"/>
    <n v="120"/>
    <n v="80"/>
    <n v="200"/>
    <n v="1"/>
    <m/>
    <n v="0.12"/>
    <n v="0.08"/>
    <n v="0.2"/>
    <n v="5.55"/>
    <n v="3.7"/>
    <n v="9.25"/>
    <s v="Mineralwolle"/>
    <s v="f8afef87-5de3-4996-838c-1f2af9ef81df"/>
    <n v="46.25"/>
    <n v="0"/>
    <n v="0"/>
    <n v="4.2000000000000003E-2"/>
    <n v="2857.1428571428569"/>
    <n v="10.695183985712411"/>
    <n v="7.1301226571416088"/>
    <n v="17.82530664285402"/>
    <n v="12.97922231021659"/>
    <n v="8.6528148734777286"/>
    <n v="21.632037183694319"/>
    <n v="5.4935611125903199"/>
    <n v="3.6623740750602138"/>
    <n v="9.1559351876505346"/>
    <n v="118.07336116942452"/>
    <n v="78.715574112949682"/>
    <n v="196.78893528237421"/>
    <m/>
    <m/>
    <m/>
    <n v="6.0144984071618559"/>
    <n v="4.0096656047745709"/>
    <n v="10.024164011936426"/>
    <n v="2.1674690482342586E-3"/>
    <n v="1.4449793654895062E-3"/>
    <n v="3.6124484137237648E-3"/>
    <m/>
    <m/>
    <m/>
    <m/>
    <m/>
    <m/>
    <m/>
    <x v="0"/>
    <m/>
    <m/>
  </r>
  <r>
    <x v="1"/>
    <s v="Mauerwerk, einschalig - Hochlochziegel (HLZ)"/>
    <n v="4"/>
    <s v="Referenz MiWo"/>
    <x v="3"/>
    <s v="Putz"/>
    <s v="Kalkputz"/>
    <s v="nein"/>
    <n v="15"/>
    <n v="15"/>
    <n v="15"/>
    <n v="1"/>
    <m/>
    <n v="0.02"/>
    <n v="0.02"/>
    <n v="0.02"/>
    <n v="15.75"/>
    <n v="15.75"/>
    <n v="15.75"/>
    <s v=" "/>
    <s v="07f3cd13-22bb-494d-803a-f0a440fbce7a"/>
    <n v="1050"/>
    <n v="0"/>
    <n v="0"/>
    <n v="1"/>
    <n v="15"/>
    <n v="19.102641975961582"/>
    <n v="19.102641975961582"/>
    <n v="19.102641975961582"/>
    <n v="19.894952377912816"/>
    <n v="19.894952377912816"/>
    <n v="19.894952377912816"/>
    <n v="1.8596920563101473"/>
    <n v="1.8596920563101473"/>
    <n v="1.8596920563101473"/>
    <n v="26.945451563913227"/>
    <n v="26.945451563913227"/>
    <n v="26.945451563913227"/>
    <m/>
    <m/>
    <m/>
    <n v="1.9586296940800589"/>
    <n v="1.9586296940800589"/>
    <n v="1.9586296940800589"/>
    <n v="1.0580831622736952E-3"/>
    <n v="1.0580831622736952E-3"/>
    <n v="1.0580831622736952E-3"/>
    <m/>
    <m/>
    <m/>
    <m/>
    <m/>
    <m/>
    <m/>
    <x v="0"/>
    <m/>
    <m/>
  </r>
  <r>
    <x v="1"/>
    <s v="Mauerwerk, einschalig - Hochlochziegel (HLZ)"/>
    <n v="4"/>
    <s v="Referenz MiWo"/>
    <x v="3"/>
    <s v="Hochlochziegel"/>
    <s v="Mauerziegel, ungefüllt"/>
    <s v="nein"/>
    <n v="240"/>
    <n v="240"/>
    <n v="240"/>
    <n v="1"/>
    <m/>
    <n v="0.24"/>
    <n v="0.24"/>
    <n v="0.24"/>
    <n v="138"/>
    <n v="138"/>
    <n v="138"/>
    <s v="1200 kg/m³"/>
    <s v="08dd0308-eebf-4db1-82ee-b340d070c9b9"/>
    <n v="575"/>
    <n v="0"/>
    <n v="0"/>
    <n v="1.1000000000000001"/>
    <n v="218.18181818181816"/>
    <n v="208.37308201480639"/>
    <n v="208.37308201480639"/>
    <n v="208.37308201480639"/>
    <n v="454.73860772828544"/>
    <n v="454.73860772828544"/>
    <n v="454.73860772828544"/>
    <n v="33.459580284616145"/>
    <n v="33.459580284616145"/>
    <n v="33.459580284616145"/>
    <n v="369.70430638014756"/>
    <n v="369.70430638014756"/>
    <n v="369.70430638014756"/>
    <m/>
    <m/>
    <m/>
    <n v="3.4691369163803656"/>
    <n v="3.4691369163803656"/>
    <n v="3.4691369163803656"/>
    <n v="1.1696495000328577E-2"/>
    <n v="1.1696495000328577E-2"/>
    <n v="1.1696495000328577E-2"/>
    <m/>
    <m/>
    <m/>
    <m/>
    <m/>
    <m/>
    <m/>
    <x v="0"/>
    <m/>
    <m/>
  </r>
  <r>
    <x v="1"/>
    <s v="Mauerwerk, einschalig - Kalksandstein (KS) mit Dämmung"/>
    <n v="2"/>
    <s v="Hanf"/>
    <x v="4"/>
    <s v="Putz"/>
    <s v="Kalkputz"/>
    <s v="nein"/>
    <n v="15"/>
    <n v="15"/>
    <n v="15"/>
    <n v="1"/>
    <m/>
    <n v="0.02"/>
    <n v="0.02"/>
    <n v="0.02"/>
    <n v="15.75"/>
    <n v="15.75"/>
    <n v="15.75"/>
    <s v="EPS, 0,035 W/Km"/>
    <s v="07f3cd13-22bb-494d-803a-f0a440fbce7a"/>
    <n v="1050"/>
    <n v="0"/>
    <n v="0"/>
    <n v="1"/>
    <n v="15"/>
    <n v="19.102641975961582"/>
    <n v="19.102641975961582"/>
    <n v="19.102641975961582"/>
    <n v="19.894952377912816"/>
    <n v="19.894952377912816"/>
    <n v="19.894952377912816"/>
    <n v="1.8596920563101473"/>
    <n v="1.8596920563101473"/>
    <n v="1.8596920563101473"/>
    <n v="26.945451563913227"/>
    <n v="26.945451563913227"/>
    <n v="26.945451563913227"/>
    <m/>
    <m/>
    <m/>
    <n v="1.9586296940800589"/>
    <n v="1.9586296940800589"/>
    <n v="1.9586296940800589"/>
    <n v="1.0580831622736952E-3"/>
    <n v="1.0580831622736952E-3"/>
    <n v="1.0580831622736952E-3"/>
    <m/>
    <m/>
    <m/>
    <m/>
    <m/>
    <m/>
    <m/>
    <x v="0"/>
    <m/>
    <m/>
  </r>
  <r>
    <x v="1"/>
    <s v="Mauerwerk, einschalig - Kalksandstein (KS) mit Dämmung"/>
    <n v="2"/>
    <s v="Hanf"/>
    <x v="4"/>
    <s v="Gipskartonplatte"/>
    <s v="Gipskartonplatte (12,5 mm)"/>
    <s v="nein"/>
    <n v="12.5"/>
    <n v="12.5"/>
    <n v="12.5"/>
    <n v="1"/>
    <m/>
    <n v="0.01"/>
    <n v="0.01"/>
    <n v="0.01"/>
    <n v="10"/>
    <n v="10"/>
    <n v="10"/>
    <s v="Kalkputz"/>
    <s v="07423e99-8c7c-4e93-8311-dcf7ae85c41d"/>
    <n v="800"/>
    <n v="10"/>
    <n v="0"/>
    <n v="0.2"/>
    <n v="62.5"/>
    <n v="9.6885190926662101"/>
    <n v="9.6885190926662101"/>
    <n v="9.6885190926662101"/>
    <n v="10.504992021872901"/>
    <n v="10.504992021872901"/>
    <n v="10.504992021872901"/>
    <n v="2.5140556386449697"/>
    <n v="2.5140556386449697"/>
    <n v="2.5140556386449697"/>
    <n v="38.560990916917703"/>
    <n v="38.560990916917703"/>
    <n v="38.560990916917703"/>
    <m/>
    <m/>
    <m/>
    <n v="1.2506783392176499"/>
    <n v="1.2506783392176499"/>
    <n v="1.2506783392176499"/>
    <n v="8.7990794098609262E-4"/>
    <n v="8.7990794098609262E-4"/>
    <n v="8.7990794098609262E-4"/>
    <m/>
    <m/>
    <m/>
    <m/>
    <m/>
    <m/>
    <m/>
    <x v="0"/>
    <m/>
    <m/>
  </r>
  <r>
    <x v="1"/>
    <s v="Mauerwerk, einschalig - Kalksandstein (KS) mit Dämmung"/>
    <n v="2"/>
    <s v="Hanf"/>
    <x v="4"/>
    <s v="Dämmung Hanf, Außenwand"/>
    <s v="Hanfvlies"/>
    <s v="ja"/>
    <n v="175"/>
    <n v="135"/>
    <n v="255"/>
    <n v="1"/>
    <m/>
    <n v="0.18"/>
    <n v="0.14000000000000001"/>
    <n v="0.26"/>
    <n v="6.65"/>
    <n v="5.13"/>
    <n v="9.69"/>
    <s v="1800 kg/m³"/>
    <s v="5ef0c519-f5b2-4d45-809d-5f417f90e90b"/>
    <n v="38"/>
    <n v="0"/>
    <n v="0"/>
    <n v="4.4999999999999998E-2"/>
    <n v="3888.8888888888891"/>
    <n v="16.060091964094262"/>
    <n v="12.389213800872721"/>
    <n v="23.401848290537355"/>
    <n v="10.431938828820904"/>
    <n v="8.0474956679475564"/>
    <n v="15.200825150567605"/>
    <n v="6.7629359725212206"/>
    <n v="5.2171220359449428"/>
    <n v="9.8545638456737787"/>
    <n v="127.73043493029127"/>
    <n v="98.534906946224709"/>
    <n v="186.12149089842441"/>
    <m/>
    <m/>
    <m/>
    <n v="3.1841594973425664"/>
    <n v="2.4563516122356948"/>
    <n v="4.6397752675563115"/>
    <n v="2.2483079357832675E-3"/>
    <n v="1.7344089790328066E-3"/>
    <n v="3.2761058492841899E-3"/>
    <m/>
    <m/>
    <m/>
    <m/>
    <m/>
    <m/>
    <m/>
    <x v="0"/>
    <m/>
    <m/>
  </r>
  <r>
    <x v="1"/>
    <s v="Mauerwerk, einschalig - Kalksandstein (KS) mit Dämmung"/>
    <n v="2"/>
    <s v="Hanf"/>
    <x v="4"/>
    <s v="Kalksandstein"/>
    <s v="Kalksandstein"/>
    <s v="nein"/>
    <n v="120"/>
    <n v="120"/>
    <n v="120"/>
    <n v="1"/>
    <m/>
    <n v="0.12"/>
    <n v="0.12"/>
    <n v="0.12"/>
    <n v="240"/>
    <n v="240"/>
    <n v="240"/>
    <m/>
    <s v="29e6c6cf-0552-4e4b-85c7-26a68a625252"/>
    <n v="2000"/>
    <n v="0"/>
    <n v="0"/>
    <n v="0.9"/>
    <n v="133.33333333333334"/>
    <n v="292.28867164452481"/>
    <n v="292.28867164452481"/>
    <n v="292.28867164452481"/>
    <n v="298.90220537355356"/>
    <n v="298.90220537355356"/>
    <n v="298.90220537355356"/>
    <n v="35.541681329985117"/>
    <n v="35.541681329985117"/>
    <n v="35.541681329985117"/>
    <n v="279.25245963495598"/>
    <n v="279.25245963495598"/>
    <n v="279.25245963495598"/>
    <m/>
    <m/>
    <m/>
    <n v="15.213275691000359"/>
    <n v="15.213275691000359"/>
    <n v="15.213275691000359"/>
    <n v="1.4578515020017032E-2"/>
    <n v="1.4578515020017032E-2"/>
    <n v="1.4578515020017032E-2"/>
    <m/>
    <m/>
    <m/>
    <m/>
    <m/>
    <m/>
    <m/>
    <x v="0"/>
    <m/>
    <m/>
  </r>
  <r>
    <x v="1"/>
    <s v="Mauerwerk, einschalig - Kalksandstein (KS) mit Dämmung"/>
    <n v="3"/>
    <s v="Zellulose"/>
    <x v="5"/>
    <s v="Putz"/>
    <s v="Kalkputz"/>
    <s v="nein"/>
    <n v="15"/>
    <n v="15"/>
    <n v="15"/>
    <n v="1"/>
    <m/>
    <n v="0.02"/>
    <n v="0.02"/>
    <n v="0.02"/>
    <n v="15.75"/>
    <n v="15.75"/>
    <n v="15.75"/>
    <m/>
    <s v="07f3cd13-22bb-494d-803a-f0a440fbce7a"/>
    <n v="1050"/>
    <n v="0"/>
    <n v="0"/>
    <n v="1"/>
    <n v="15"/>
    <n v="19.102641975961582"/>
    <n v="19.102641975961582"/>
    <n v="19.102641975961582"/>
    <n v="19.894952377912816"/>
    <n v="19.894952377912816"/>
    <n v="19.894952377912816"/>
    <n v="1.8596920563101473"/>
    <n v="1.8596920563101473"/>
    <n v="1.8596920563101473"/>
    <n v="26.945451563913227"/>
    <n v="26.945451563913227"/>
    <n v="26.945451563913227"/>
    <m/>
    <m/>
    <m/>
    <n v="1.9586296940800589"/>
    <n v="1.9586296940800589"/>
    <n v="1.9586296940800589"/>
    <n v="1.0580831622736952E-3"/>
    <n v="1.0580831622736952E-3"/>
    <n v="1.0580831622736952E-3"/>
    <m/>
    <m/>
    <m/>
    <m/>
    <m/>
    <m/>
    <m/>
    <x v="0"/>
    <m/>
    <m/>
  </r>
  <r>
    <x v="1"/>
    <s v="Mauerwerk, einschalig - Kalksandstein (KS) mit Dämmung"/>
    <n v="3"/>
    <s v="Zellulose"/>
    <x v="5"/>
    <s v="Gipskartonplatte"/>
    <s v="Gipskartonplatte (12,5 mm)"/>
    <s v="nein"/>
    <n v="12.5"/>
    <n v="12.5"/>
    <n v="12.5"/>
    <n v="1"/>
    <m/>
    <n v="0.01"/>
    <n v="0.01"/>
    <n v="0.01"/>
    <n v="10"/>
    <n v="10"/>
    <n v="10"/>
    <m/>
    <s v="07423e99-8c7c-4e93-8311-dcf7ae85c41d"/>
    <n v="800"/>
    <n v="10"/>
    <n v="0"/>
    <n v="0.2"/>
    <n v="62.5"/>
    <n v="9.6885190926662101"/>
    <n v="9.6885190926662101"/>
    <n v="9.6885190926662101"/>
    <n v="10.504992021872901"/>
    <n v="10.504992021872901"/>
    <n v="10.504992021872901"/>
    <n v="2.5140556386449697"/>
    <n v="2.5140556386449697"/>
    <n v="2.5140556386449697"/>
    <n v="38.560990916917703"/>
    <n v="38.560990916917703"/>
    <n v="38.560990916917703"/>
    <m/>
    <m/>
    <m/>
    <n v="1.2506783392176499"/>
    <n v="1.2506783392176499"/>
    <n v="1.2506783392176499"/>
    <n v="8.7990794098609262E-4"/>
    <n v="8.7990794098609262E-4"/>
    <n v="8.7990794098609262E-4"/>
    <m/>
    <m/>
    <m/>
    <m/>
    <m/>
    <m/>
    <m/>
    <x v="0"/>
    <m/>
    <m/>
  </r>
  <r>
    <x v="1"/>
    <s v="Mauerwerk, einschalig - Kalksandstein (KS) mit Dämmung"/>
    <n v="3"/>
    <s v="Zellulose"/>
    <x v="5"/>
    <s v="Dämmung Hanf, Außenwand"/>
    <s v="Zellulosefaserplatten"/>
    <s v="ja"/>
    <n v="120"/>
    <n v="80"/>
    <n v="200"/>
    <n v="1"/>
    <m/>
    <n v="0.12"/>
    <n v="0.08"/>
    <n v="0.2"/>
    <n v="9.6"/>
    <n v="6.4"/>
    <n v="16"/>
    <m/>
    <s v="cf963fcb-0e03-48c0-b501-ad0d1e3c22c0"/>
    <n v="80"/>
    <n v="0"/>
    <n v="0"/>
    <n v="3.9E-2"/>
    <n v="3076.9230769230771"/>
    <n v="14.796094396431119"/>
    <n v="9.8640629309540806"/>
    <n v="24.6601573273852"/>
    <n v="18.685303416284039"/>
    <n v="12.45686894418936"/>
    <n v="31.142172360473399"/>
    <n v="6.0111809791005832"/>
    <n v="4.0074539860670555"/>
    <n v="10.018634965167639"/>
    <n v="94.379216003413674"/>
    <n v="62.919477335609123"/>
    <n v="157.2986933390228"/>
    <m/>
    <m/>
    <m/>
    <n v="0.75341689420370306"/>
    <n v="0.50227792946913541"/>
    <n v="1.2556948236728385"/>
    <n v="1.692173583008357E-3"/>
    <n v="1.1281157220055713E-3"/>
    <n v="2.8202893050139283E-3"/>
    <m/>
    <m/>
    <m/>
    <m/>
    <m/>
    <m/>
    <m/>
    <x v="0"/>
    <m/>
    <m/>
  </r>
  <r>
    <x v="1"/>
    <s v="Mauerwerk, einschalig - Kalksandstein (KS) mit Dämmung"/>
    <n v="3"/>
    <s v="Zellulose"/>
    <x v="5"/>
    <s v="Kalksandstein"/>
    <s v="Kalksandstein"/>
    <s v="nein"/>
    <n v="175"/>
    <n v="175"/>
    <n v="175"/>
    <n v="1"/>
    <m/>
    <n v="0.18"/>
    <n v="0.18"/>
    <n v="0.18"/>
    <n v="350"/>
    <n v="350"/>
    <n v="350"/>
    <m/>
    <s v="29e6c6cf-0552-4e4b-85c7-26a68a625252"/>
    <n v="2000"/>
    <n v="0"/>
    <n v="0"/>
    <n v="0.9"/>
    <n v="194.44444444444443"/>
    <n v="426.25431281493201"/>
    <n v="426.25431281493201"/>
    <n v="426.25431281493201"/>
    <n v="435.89904950309898"/>
    <n v="435.89904950309898"/>
    <n v="435.89904950309898"/>
    <n v="51.831618606228297"/>
    <n v="51.831618606228297"/>
    <n v="51.831618606228297"/>
    <n v="407.24317030097745"/>
    <n v="407.24317030097745"/>
    <n v="407.24317030097745"/>
    <m/>
    <m/>
    <m/>
    <n v="22.186027049375522"/>
    <n v="22.186027049375522"/>
    <n v="22.186027049375522"/>
    <n v="2.1260334404191505E-2"/>
    <n v="2.1260334404191505E-2"/>
    <n v="2.1260334404191505E-2"/>
    <m/>
    <m/>
    <m/>
    <m/>
    <m/>
    <m/>
    <m/>
    <x v="0"/>
    <m/>
    <m/>
  </r>
  <r>
    <x v="1"/>
    <s v="Mauerwerk, einschalig - Mauerziegel (gefüllt)"/>
    <n v="5"/>
    <s v="Referenz"/>
    <x v="6"/>
    <s v="Putz"/>
    <s v="Kalkputz"/>
    <s v="nein"/>
    <n v="15"/>
    <n v="15"/>
    <n v="15"/>
    <n v="1"/>
    <m/>
    <n v="0.02"/>
    <n v="0.02"/>
    <n v="0.02"/>
    <n v="15.75"/>
    <n v="15.75"/>
    <n v="15.75"/>
    <s v="Kalk-Zement-Kalkputz"/>
    <s v="07f3cd13-22bb-494d-803a-f0a440fbce7a"/>
    <n v="1050"/>
    <n v="0"/>
    <n v="0"/>
    <n v="1"/>
    <n v="15"/>
    <n v="19.102641975961582"/>
    <n v="19.102641975961582"/>
    <n v="19.102641975961582"/>
    <n v="19.894952377912816"/>
    <n v="19.894952377912816"/>
    <n v="19.894952377912816"/>
    <n v="1.8596920563101473"/>
    <n v="1.8596920563101473"/>
    <n v="1.8596920563101473"/>
    <n v="26.945451563913227"/>
    <n v="26.945451563913227"/>
    <n v="26.945451563913227"/>
    <m/>
    <m/>
    <m/>
    <n v="1.9586296940800589"/>
    <n v="1.9586296940800589"/>
    <n v="1.9586296940800589"/>
    <n v="1.0580831622736952E-3"/>
    <n v="1.0580831622736952E-3"/>
    <n v="1.0580831622736952E-3"/>
    <m/>
    <m/>
    <m/>
    <m/>
    <m/>
    <m/>
    <m/>
    <x v="0"/>
    <m/>
    <m/>
  </r>
  <r>
    <x v="1"/>
    <s v="Mauerwerk, einschalig - Mauerziegel (gefüllt)"/>
    <n v="5"/>
    <s v="Referenz"/>
    <x v="6"/>
    <s v="Mauerziegel (mit Dämmstoff gefüllt)"/>
    <s v="Mauerziegel (mit Dämmstoff gefüllt)"/>
    <s v="nein"/>
    <n v="365"/>
    <n v="365"/>
    <n v="365"/>
    <n v="1"/>
    <m/>
    <n v="0.36"/>
    <n v="0.36"/>
    <n v="0.36"/>
    <n v="220.82"/>
    <n v="220.82"/>
    <n v="220.82"/>
    <s v="Poroton-T8-36,5-MW (650 kg /m³)"/>
    <s v="5576bbd6-2ccf-4e79-aa8c-441e7aa428ee"/>
    <n v="605"/>
    <n v="0"/>
    <n v="0"/>
    <n v="1.1000000000000001"/>
    <n v="331.81818181818181"/>
    <n v="374.41081162336127"/>
    <n v="374.41081162336127"/>
    <n v="374.41081162336127"/>
    <n v="748.80349573453191"/>
    <n v="748.80349573453191"/>
    <n v="748.80349573453191"/>
    <n v="99.187706810579286"/>
    <n v="99.187706810579286"/>
    <n v="99.187706810579286"/>
    <n v="1332.1204698276194"/>
    <n v="1332.1204698276194"/>
    <n v="1332.1204698276194"/>
    <m/>
    <m/>
    <m/>
    <n v="21.286056114057093"/>
    <n v="21.286056114057093"/>
    <n v="21.286056114057093"/>
    <n v="3.0666971022193207E-2"/>
    <n v="3.0666971022193207E-2"/>
    <n v="3.0666971022193207E-2"/>
    <m/>
    <m/>
    <m/>
    <m/>
    <m/>
    <m/>
    <m/>
    <x v="0"/>
    <m/>
    <m/>
  </r>
  <r>
    <x v="1"/>
    <s v="Mauerwerk, zweischalig - Vollziegel (VZ)"/>
    <n v="6"/>
    <s v="Referenz MiWo"/>
    <x v="7"/>
    <s v="Dämmung MW, Außenwand"/>
    <s v="Mineralwolle"/>
    <s v="ja"/>
    <n v="120"/>
    <n v="80"/>
    <n v="200"/>
    <n v="1"/>
    <m/>
    <n v="0.12"/>
    <n v="0.08"/>
    <n v="0.2"/>
    <n v="5.55"/>
    <n v="3.7"/>
    <n v="9.25"/>
    <s v="Mineralwolle"/>
    <s v="f8afef87-5de3-4996-838c-1f2af9ef81df"/>
    <n v="46.25"/>
    <n v="0"/>
    <n v="0"/>
    <n v="4.2000000000000003E-2"/>
    <n v="2857.1428571428569"/>
    <n v="10.695183985712411"/>
    <n v="7.1301226571416088"/>
    <n v="17.82530664285402"/>
    <n v="12.97922231021659"/>
    <n v="8.6528148734777286"/>
    <n v="21.632037183694319"/>
    <n v="5.4935611125903199"/>
    <n v="3.6623740750602138"/>
    <n v="9.1559351876505346"/>
    <n v="118.07336116942452"/>
    <n v="78.715574112949682"/>
    <n v="196.78893528237421"/>
    <m/>
    <m/>
    <m/>
    <n v="6.0144984071618559"/>
    <n v="4.0096656047745709"/>
    <n v="10.024164011936426"/>
    <n v="2.1674690482342586E-3"/>
    <n v="1.4449793654895062E-3"/>
    <n v="3.6124484137237648E-3"/>
    <m/>
    <m/>
    <m/>
    <m/>
    <m/>
    <m/>
    <m/>
    <x v="0"/>
    <m/>
    <m/>
  </r>
  <r>
    <x v="1"/>
    <s v="Mauerwerk, zweischalig - Vollziegel (VZ)"/>
    <n v="6"/>
    <s v="Referenz MiWo"/>
    <x v="7"/>
    <s v="Putz"/>
    <s v="Kalkputz"/>
    <s v="nein"/>
    <n v="15"/>
    <n v="15"/>
    <n v="15"/>
    <n v="1"/>
    <m/>
    <n v="0.02"/>
    <n v="0.02"/>
    <n v="0.02"/>
    <n v="15.75"/>
    <n v="15.75"/>
    <n v="15.75"/>
    <s v="Kalkputz"/>
    <s v="07f3cd13-22bb-494d-803a-f0a440fbce7a"/>
    <n v="1050"/>
    <n v="0"/>
    <n v="0"/>
    <n v="1"/>
    <n v="15"/>
    <n v="19.102641975961582"/>
    <n v="19.102641975961582"/>
    <n v="19.102641975961582"/>
    <n v="19.894952377912816"/>
    <n v="19.894952377912816"/>
    <n v="19.894952377912816"/>
    <n v="1.8596920563101473"/>
    <n v="1.8596920563101473"/>
    <n v="1.8596920563101473"/>
    <n v="26.945451563913227"/>
    <n v="26.945451563913227"/>
    <n v="26.945451563913227"/>
    <m/>
    <m/>
    <m/>
    <n v="1.9586296940800589"/>
    <n v="1.9586296940800589"/>
    <n v="1.9586296940800589"/>
    <n v="1.0580831622736952E-3"/>
    <n v="1.0580831622736952E-3"/>
    <n v="1.0580831622736952E-3"/>
    <m/>
    <m/>
    <m/>
    <m/>
    <m/>
    <m/>
    <m/>
    <x v="0"/>
    <m/>
    <m/>
  </r>
  <r>
    <x v="1"/>
    <s v="Mauerwerk, zweischalig - Vollziegel (VZ)"/>
    <n v="6"/>
    <s v="Referenz MiWo"/>
    <x v="7"/>
    <s v="Hochlochziegel"/>
    <s v="Mauerziegel, ungefüllt"/>
    <s v="nein"/>
    <n v="240"/>
    <n v="240"/>
    <n v="240"/>
    <n v="1"/>
    <m/>
    <n v="0.24"/>
    <n v="0.24"/>
    <n v="0.24"/>
    <n v="138"/>
    <n v="138"/>
    <n v="138"/>
    <s v=" "/>
    <s v="08dd0308-eebf-4db1-82ee-b340d070c9b9"/>
    <n v="575"/>
    <n v="0"/>
    <n v="0"/>
    <n v="1.1000000000000001"/>
    <n v="218.18181818181816"/>
    <n v="208.37308201480639"/>
    <n v="208.37308201480639"/>
    <n v="208.37308201480639"/>
    <n v="454.73860772828544"/>
    <n v="454.73860772828544"/>
    <n v="454.73860772828544"/>
    <n v="33.459580284616145"/>
    <n v="33.459580284616145"/>
    <n v="33.459580284616145"/>
    <n v="369.70430638014756"/>
    <n v="369.70430638014756"/>
    <n v="369.70430638014756"/>
    <m/>
    <m/>
    <m/>
    <n v="3.4691369163803656"/>
    <n v="3.4691369163803656"/>
    <n v="3.4691369163803656"/>
    <n v="1.1696495000328577E-2"/>
    <n v="1.1696495000328577E-2"/>
    <n v="1.1696495000328577E-2"/>
    <m/>
    <m/>
    <m/>
    <m/>
    <m/>
    <m/>
    <m/>
    <x v="0"/>
    <m/>
    <m/>
  </r>
  <r>
    <x v="1"/>
    <s v="Mauerwerk, zweischalig - Vollziegel (VZ)"/>
    <n v="6"/>
    <s v="Referenz MiWo"/>
    <x v="7"/>
    <s v="Vollziegel"/>
    <s v="Vormauerziegel"/>
    <s v="nein"/>
    <n v="120"/>
    <n v="120"/>
    <n v="120"/>
    <n v="1"/>
    <m/>
    <n v="0.12"/>
    <n v="0.12"/>
    <n v="0.12"/>
    <n v="216"/>
    <n v="216"/>
    <n v="216"/>
    <s v=" "/>
    <s v="f74a19da-df9a-4462-a632-3b3dc83377b1"/>
    <n v="1800"/>
    <n v="0"/>
    <n v="0"/>
    <n v="1.1000000000000001"/>
    <n v="109.09090909090908"/>
    <n v="332.79054650941396"/>
    <n v="332.79054650941396"/>
    <n v="332.79054650941396"/>
    <n v="719.97574650528747"/>
    <n v="719.97574650528747"/>
    <n v="719.97574650528747"/>
    <n v="76.702953942135437"/>
    <n v="76.702953942135437"/>
    <n v="76.702953942135437"/>
    <n v="838.67953622181267"/>
    <n v="838.67953622181267"/>
    <n v="838.67953622181267"/>
    <m/>
    <m/>
    <m/>
    <n v="7.8451483625078904"/>
    <n v="7.8451483625078904"/>
    <n v="7.8451483625078904"/>
    <n v="2.2771098142268676E-2"/>
    <n v="2.2771098142268676E-2"/>
    <n v="2.2771098142268676E-2"/>
    <m/>
    <m/>
    <m/>
    <m/>
    <m/>
    <m/>
    <m/>
    <x v="0"/>
    <m/>
    <m/>
  </r>
  <r>
    <x v="1"/>
    <s v="Holzrahmenbau - Holzständerbauweise (HSB)"/>
    <n v="7"/>
    <s v="Referenz MiWo"/>
    <x v="8"/>
    <s v="Gipskartonplatte"/>
    <s v="Gipskartonplatte (12,5 mm)"/>
    <s v="nein"/>
    <n v="12.5"/>
    <n v="12.5"/>
    <n v="12.5"/>
    <n v="1"/>
    <m/>
    <n v="0.01"/>
    <n v="0.01"/>
    <n v="0.01"/>
    <n v="10"/>
    <n v="10"/>
    <n v="10"/>
    <s v=" "/>
    <s v="07423e99-8c7c-4e93-8311-dcf7ae85c41d"/>
    <n v="800"/>
    <n v="10"/>
    <n v="0"/>
    <n v="0.2"/>
    <n v="62.5"/>
    <n v="9.6885190926662101"/>
    <n v="9.6885190926662101"/>
    <n v="9.6885190926662101"/>
    <n v="10.504992021872901"/>
    <n v="10.504992021872901"/>
    <n v="10.504992021872901"/>
    <n v="2.5140556386449697"/>
    <n v="2.5140556386449697"/>
    <n v="2.5140556386449697"/>
    <n v="38.560990916917703"/>
    <n v="38.560990916917703"/>
    <n v="38.560990916917703"/>
    <m/>
    <m/>
    <m/>
    <n v="1.2506783392176499"/>
    <n v="1.2506783392176499"/>
    <n v="1.2506783392176499"/>
    <n v="8.7990794098609262E-4"/>
    <n v="8.7990794098609262E-4"/>
    <n v="8.7990794098609262E-4"/>
    <m/>
    <m/>
    <m/>
    <m/>
    <m/>
    <m/>
    <m/>
    <x v="0"/>
    <m/>
    <m/>
  </r>
  <r>
    <x v="1"/>
    <s v="Holzrahmenbau - Holzständerbauweise (HSB)"/>
    <n v="7"/>
    <s v="Referenz MiWo"/>
    <x v="8"/>
    <s v="Konstruktionsvollholz"/>
    <s v="Konstruktionsvollholz"/>
    <s v="nein"/>
    <n v="120"/>
    <n v="120"/>
    <n v="120"/>
    <n v="0.2"/>
    <m/>
    <n v="0.02"/>
    <n v="0.02"/>
    <n v="0.02"/>
    <n v="11.83"/>
    <n v="11.83"/>
    <n v="11.83"/>
    <s v="120x20 mm, Abstand 60 cm"/>
    <s v="1a70d292-a82c-42a6-a378-d3cbd9a9af4e"/>
    <n v="492.92"/>
    <n v="0"/>
    <n v="0"/>
    <n v="0.1"/>
    <n v="1200"/>
    <n v="23.922847238298257"/>
    <n v="23.922847238298257"/>
    <n v="23.922847238298257"/>
    <n v="27.693245889371099"/>
    <n v="27.693245889371099"/>
    <n v="27.693245889371099"/>
    <n v="2.4910172086284685"/>
    <n v="2.4910172086284685"/>
    <n v="2.4910172086284685"/>
    <n v="45.106194662661636"/>
    <n v="45.106194662661636"/>
    <n v="45.106194662661636"/>
    <m/>
    <m/>
    <m/>
    <n v="1.0048021680413088"/>
    <n v="1.0048021680413088"/>
    <n v="1.0048021680413088"/>
    <n v="1.2927542633527267E-3"/>
    <n v="1.2927542633527267E-3"/>
    <n v="1.2927542633527267E-3"/>
    <m/>
    <m/>
    <m/>
    <m/>
    <m/>
    <m/>
    <m/>
    <x v="0"/>
    <m/>
    <m/>
  </r>
  <r>
    <x v="1"/>
    <s v="Holzrahmenbau - Holzständerbauweise (HSB)"/>
    <n v="7"/>
    <s v="Referenz MiWo"/>
    <x v="8"/>
    <s v="Dämmung MW, Außenwand"/>
    <s v="Mineralwolle"/>
    <s v="ja"/>
    <n v="120"/>
    <n v="80"/>
    <n v="200"/>
    <n v="0.86"/>
    <m/>
    <n v="0.1"/>
    <n v="7.0000000000000007E-2"/>
    <n v="0.17"/>
    <n v="4.7699999999999996"/>
    <n v="3.18"/>
    <n v="7.96"/>
    <s v="Mineralwolle"/>
    <s v="f8afef87-5de3-4996-838c-1f2af9ef81df"/>
    <n v="46.25"/>
    <n v="0"/>
    <n v="0"/>
    <n v="4.2000000000000003E-2"/>
    <n v="2857.1428571428569"/>
    <n v="9.1978582277126737"/>
    <n v="6.1319054851417825"/>
    <n v="15.32976371285446"/>
    <n v="11.162131186786267"/>
    <n v="7.4414207911908452"/>
    <n v="18.603551977977116"/>
    <n v="4.7244625568276755"/>
    <n v="3.1496417045517835"/>
    <n v="7.8741042613794603"/>
    <n v="101.54309060570509"/>
    <n v="67.695393737136726"/>
    <n v="169.23848434284184"/>
    <m/>
    <m/>
    <m/>
    <n v="5.1724686301591962"/>
    <n v="3.4483124201061308"/>
    <n v="8.6207810502653288"/>
    <n v="1.8640233814814628E-3"/>
    <n v="1.242682254320975E-3"/>
    <n v="3.106705635802438E-3"/>
    <m/>
    <m/>
    <m/>
    <m/>
    <m/>
    <m/>
    <m/>
    <x v="0"/>
    <m/>
    <m/>
  </r>
  <r>
    <x v="1"/>
    <s v="Holzrahmenbau - Holzständerbauweise (HSB)"/>
    <n v="7"/>
    <s v="Referenz MiWo"/>
    <x v="8"/>
    <s v="Wandbauplatte"/>
    <s v="Holzfaserplatte"/>
    <s v="nein"/>
    <n v="18"/>
    <n v="18"/>
    <n v="18"/>
    <n v="1"/>
    <m/>
    <n v="0.02"/>
    <n v="0.02"/>
    <n v="0.02"/>
    <n v="2.71"/>
    <n v="2.71"/>
    <n v="2.71"/>
    <s v=" "/>
    <s v="51a420d8-6366-4e14-83db-ecfe0721774d"/>
    <n v="150.76"/>
    <n v="0"/>
    <n v="0"/>
    <n v="3.2000000000000001E-2"/>
    <n v="562.5"/>
    <n v="4.2322772641023754"/>
    <n v="4.2322772641023754"/>
    <n v="4.2322772641023754"/>
    <n v="5.0878934799802336"/>
    <n v="5.0878934799802336"/>
    <n v="5.0878934799802336"/>
    <n v="2.5463115040641155"/>
    <n v="2.5463115040641155"/>
    <n v="2.5463115040641155"/>
    <n v="43.32657921182188"/>
    <n v="43.32657921182188"/>
    <n v="43.32657921182188"/>
    <m/>
    <m/>
    <m/>
    <n v="1.7389461468424889"/>
    <n v="1.7389461468424889"/>
    <n v="1.7389461468424889"/>
    <n v="8.1057937491179309E-4"/>
    <n v="8.1057937491179309E-4"/>
    <n v="8.1057937491179309E-4"/>
    <m/>
    <m/>
    <m/>
    <m/>
    <m/>
    <m/>
    <m/>
    <x v="0"/>
    <m/>
    <m/>
  </r>
  <r>
    <x v="1"/>
    <s v="Holzrahmenbau - Holzständerbauweise (HSB)"/>
    <n v="8"/>
    <s v="Stroh"/>
    <x v="9"/>
    <s v="Gipskartonplatte"/>
    <s v="Gipskartonplatte (12,5 mm)"/>
    <s v="nein"/>
    <n v="12.5"/>
    <n v="12.5"/>
    <n v="12.5"/>
    <n v="1"/>
    <m/>
    <n v="0.01"/>
    <n v="0.01"/>
    <n v="0.01"/>
    <n v="10"/>
    <n v="10"/>
    <n v="10"/>
    <s v=" "/>
    <s v="07423e99-8c7c-4e93-8311-dcf7ae85c41d"/>
    <n v="800"/>
    <n v="10"/>
    <n v="0"/>
    <n v="0.2"/>
    <n v="62.5"/>
    <n v="9.6885190926662101"/>
    <n v="9.6885190926662101"/>
    <n v="9.6885190926662101"/>
    <n v="10.504992021872901"/>
    <n v="10.504992021872901"/>
    <n v="10.504992021872901"/>
    <n v="2.5140556386449697"/>
    <n v="2.5140556386449697"/>
    <n v="2.5140556386449697"/>
    <n v="38.560990916917703"/>
    <n v="38.560990916917703"/>
    <n v="38.560990916917703"/>
    <m/>
    <m/>
    <m/>
    <n v="1.2506783392176499"/>
    <n v="1.2506783392176499"/>
    <n v="1.2506783392176499"/>
    <n v="8.7990794098609262E-4"/>
    <n v="8.7990794098609262E-4"/>
    <n v="8.7990794098609262E-4"/>
    <m/>
    <m/>
    <m/>
    <m/>
    <m/>
    <m/>
    <m/>
    <x v="0"/>
    <m/>
    <m/>
  </r>
  <r>
    <x v="1"/>
    <s v="Holzrahmenbau - Holzständerbauweise (HSB)"/>
    <n v="8"/>
    <s v="Stroh"/>
    <x v="9"/>
    <s v="Konstruktionsvollholz"/>
    <s v="Konstruktionsvollholz"/>
    <s v="nein"/>
    <n v="240"/>
    <n v="240"/>
    <n v="240"/>
    <n v="0.2"/>
    <m/>
    <n v="0.05"/>
    <n v="0.05"/>
    <n v="0.05"/>
    <n v="23.66"/>
    <n v="23.66"/>
    <n v="23.66"/>
    <s v="240x20 mm Abstand 60 cm"/>
    <s v="1a70d292-a82c-42a6-a378-d3cbd9a9af4e"/>
    <n v="492.92"/>
    <n v="0"/>
    <n v="0"/>
    <n v="0.1"/>
    <n v="2400"/>
    <n v="47.845694476596513"/>
    <n v="47.845694476596513"/>
    <n v="47.845694476596513"/>
    <n v="55.386491778742197"/>
    <n v="55.386491778742197"/>
    <n v="55.386491778742197"/>
    <n v="4.9820344172569371"/>
    <n v="4.9820344172569371"/>
    <n v="4.9820344172569371"/>
    <n v="90.212389325323272"/>
    <n v="90.212389325323272"/>
    <n v="90.212389325323272"/>
    <m/>
    <m/>
    <m/>
    <n v="2.0096043360826177"/>
    <n v="2.0096043360826177"/>
    <n v="2.0096043360826177"/>
    <n v="2.5855085267054534E-3"/>
    <n v="2.5855085267054534E-3"/>
    <n v="2.5855085267054534E-3"/>
    <m/>
    <m/>
    <m/>
    <m/>
    <m/>
    <m/>
    <m/>
    <x v="0"/>
    <m/>
    <m/>
  </r>
  <r>
    <x v="1"/>
    <s v="Holzrahmenbau - Holzständerbauweise (HSB)"/>
    <n v="8"/>
    <s v="Stroh"/>
    <x v="9"/>
    <s v="Dämmung"/>
    <s v="Stroh"/>
    <s v="ja"/>
    <n v="240"/>
    <n v="200"/>
    <n v="320"/>
    <n v="0.8"/>
    <m/>
    <n v="0.19"/>
    <n v="0.16"/>
    <n v="0.26"/>
    <n v="19.2"/>
    <n v="16"/>
    <n v="25.6"/>
    <s v="Mineralwolle"/>
    <s v="d2d1b29f-8dd7-4373-ab2a-de57acd51e72"/>
    <n v="100"/>
    <n v="0"/>
    <n v="0"/>
    <n v="4.8000000000000001E-2"/>
    <n v="5000"/>
    <n v="22.863970280256815"/>
    <n v="19.053308566880684"/>
    <n v="30.485293707009092"/>
    <n v="23.317698998791311"/>
    <n v="19.431415832326095"/>
    <n v="31.090265331721749"/>
    <n v="2.3041256643564672"/>
    <n v="1.9201047202970565"/>
    <n v="3.0721675524752898"/>
    <n v="19.443708284156351"/>
    <n v="16.203090236796964"/>
    <n v="25.924944378875139"/>
    <m/>
    <m/>
    <m/>
    <n v="2.0273707119804096"/>
    <n v="1.6894755933170085"/>
    <n v="2.7031609493072128"/>
    <n v="1.154073950311169E-3"/>
    <n v="9.617282919259743E-4"/>
    <n v="1.5387652670815588E-3"/>
    <m/>
    <m/>
    <m/>
    <m/>
    <m/>
    <m/>
    <m/>
    <x v="0"/>
    <m/>
    <m/>
  </r>
  <r>
    <x v="1"/>
    <s v="Holzrahmenbau - Holzständerbauweise (HSB)"/>
    <n v="8"/>
    <s v="Stroh"/>
    <x v="9"/>
    <s v="Wandbauplatte"/>
    <s v="Holzfaserplatte"/>
    <s v="nein"/>
    <n v="18"/>
    <n v="18"/>
    <n v="18"/>
    <n v="1"/>
    <m/>
    <n v="0.02"/>
    <n v="0.02"/>
    <n v="0.02"/>
    <n v="2.71"/>
    <n v="2.71"/>
    <n v="2.71"/>
    <s v=" "/>
    <s v="51a420d8-6366-4e14-83db-ecfe0721774d"/>
    <n v="150.76"/>
    <n v="0"/>
    <n v="0"/>
    <n v="3.2000000000000001E-2"/>
    <n v="562.5"/>
    <n v="4.2322772641023754"/>
    <n v="4.2322772641023754"/>
    <n v="4.2322772641023754"/>
    <n v="5.0878934799802336"/>
    <n v="5.0878934799802336"/>
    <n v="5.0878934799802336"/>
    <n v="2.5463115040641155"/>
    <n v="2.5463115040641155"/>
    <n v="2.5463115040641155"/>
    <n v="43.32657921182188"/>
    <n v="43.32657921182188"/>
    <n v="43.32657921182188"/>
    <m/>
    <m/>
    <m/>
    <n v="1.7389461468424889"/>
    <n v="1.7389461468424889"/>
    <n v="1.7389461468424889"/>
    <n v="8.1057937491179309E-4"/>
    <n v="8.1057937491179309E-4"/>
    <n v="8.1057937491179309E-4"/>
    <m/>
    <m/>
    <m/>
    <m/>
    <m/>
    <m/>
    <m/>
    <x v="0"/>
    <m/>
    <m/>
  </r>
  <r>
    <x v="1"/>
    <s v="Pfosten/Riegelsystem aus Aluminium"/>
    <n v="0"/>
    <s v="Referenz"/>
    <x v="10"/>
    <s v="Aluminiumpfosten/-Riegel"/>
    <s v="Pfosten/Riegel aus Aluminium"/>
    <s v="nein"/>
    <n v="125"/>
    <n v="125"/>
    <n v="125"/>
    <n v="0.08"/>
    <n v="1.67"/>
    <n v="0.01"/>
    <n v="0.01"/>
    <n v="0.01"/>
    <n v="9.5"/>
    <n v="9.5"/>
    <n v="9.5"/>
    <s v="Abstand 60 cm"/>
    <s v="1d2945e3-856e-4c5f-9894-e75bafad3a76"/>
    <n v="0"/>
    <n v="0"/>
    <n v="5.7"/>
    <n v="0"/>
    <m/>
    <n v="145.64398110052281"/>
    <n v="145.64398110052281"/>
    <n v="145.64398110052281"/>
    <n v="199.50838875199321"/>
    <n v="199.50838875199321"/>
    <n v="199.50838875199321"/>
    <n v="128.67935488568463"/>
    <n v="128.67935488568463"/>
    <n v="128.67935488568463"/>
    <n v="1812.6021007340216"/>
    <n v="1812.6021007340216"/>
    <n v="1812.6021007340216"/>
    <m/>
    <m/>
    <m/>
    <n v="44.787271126306123"/>
    <n v="44.787271126306123"/>
    <n v="44.787271126306123"/>
    <n v="3.2589761043348459E-2"/>
    <n v="3.2589761043348459E-2"/>
    <n v="3.2589761043348459E-2"/>
    <m/>
    <m/>
    <m/>
    <m/>
    <m/>
    <m/>
    <m/>
    <x v="0"/>
    <m/>
    <m/>
  </r>
  <r>
    <x v="1"/>
    <s v="Pfosten/Riegelsystem aus Aluminium"/>
    <n v="0"/>
    <s v="Referenz"/>
    <x v="10"/>
    <s v="Dreifachverglasung"/>
    <s v="Dreifachverglasung"/>
    <s v="nein"/>
    <n v="36"/>
    <n v="36"/>
    <n v="36"/>
    <n v="0.92"/>
    <m/>
    <n v="0.03"/>
    <n v="0.03"/>
    <n v="0.03"/>
    <n v="27.5"/>
    <n v="27.5"/>
    <n v="27.5"/>
    <s v=" "/>
    <s v="fa9f6670-3170-4597-92ab-a2fdec7f1451"/>
    <n v="0"/>
    <n v="30"/>
    <n v="0"/>
    <n v="0.03"/>
    <n v="1200"/>
    <n v="73.905120285434094"/>
    <n v="73.905120285434094"/>
    <n v="73.905120285434094"/>
    <n v="86.222295975239973"/>
    <n v="86.222295975239973"/>
    <n v="86.222295975239973"/>
    <n v="49.151309772451924"/>
    <n v="49.151309772451924"/>
    <n v="49.151309772451924"/>
    <n v="708.74113592098593"/>
    <n v="708.74113592098593"/>
    <n v="708.74113592098593"/>
    <m/>
    <m/>
    <m/>
    <n v="15.955298256384834"/>
    <n v="15.955298256384834"/>
    <n v="15.955298256384834"/>
    <n v="1.2963895241447703E-2"/>
    <n v="1.2963895241447703E-2"/>
    <n v="1.2963895241447703E-2"/>
    <m/>
    <m/>
    <m/>
    <m/>
    <m/>
    <m/>
    <m/>
    <x v="0"/>
    <m/>
    <m/>
  </r>
  <r>
    <x v="1"/>
    <s v="Stampflehmwand"/>
    <n v="9"/>
    <s v="-"/>
    <x v="11"/>
    <s v="Stampflehmwand"/>
    <s v="Stampflehmwand"/>
    <s v="nein"/>
    <n v="300"/>
    <n v="300"/>
    <n v="300"/>
    <n v="1"/>
    <m/>
    <n v="0.3"/>
    <n v="0.3"/>
    <n v="0.3"/>
    <n v="600"/>
    <n v="600"/>
    <n v="600"/>
    <m/>
    <s v="59622fc0-d719-43bf-a16b-ae924ae0d276"/>
    <n v="2000"/>
    <n v="0"/>
    <n v="0"/>
    <n v="1.1299999999999999"/>
    <n v="265.48672566371681"/>
    <n v="651.44287653204594"/>
    <n v="651.44287653204594"/>
    <n v="651.44287653204594"/>
    <n v="1455.4725517806539"/>
    <n v="1455.4725517806539"/>
    <n v="1455.4725517806539"/>
    <n v="18.001926368714638"/>
    <n v="18.001926368714638"/>
    <n v="18.001926368714638"/>
    <n v="243.10411423212778"/>
    <n v="243.10411423212778"/>
    <n v="243.10411423212778"/>
    <m/>
    <m/>
    <m/>
    <n v="52.359780062062384"/>
    <n v="52.359780062062384"/>
    <n v="52.359780062062384"/>
    <n v="2.5853116174818922E-2"/>
    <n v="2.5853116174818922E-2"/>
    <n v="2.5853116174818922E-2"/>
    <m/>
    <m/>
    <m/>
    <m/>
    <m/>
    <m/>
    <m/>
    <x v="0"/>
    <m/>
    <m/>
  </r>
  <r>
    <x v="2"/>
    <s v="Holzdecke"/>
    <n v="3"/>
    <s v="Referenz MiWo"/>
    <x v="12"/>
    <s v="Estrich"/>
    <s v="Zementestrich"/>
    <s v="nein"/>
    <n v="60"/>
    <n v="60"/>
    <n v="60"/>
    <n v="1"/>
    <m/>
    <n v="0.06"/>
    <n v="0.06"/>
    <n v="0.06"/>
    <n v="144"/>
    <n v="144"/>
    <n v="144"/>
    <s v=" "/>
    <s v="0973f221-2284-4892-ae3d-1b8c2986b6dd"/>
    <n v="2400"/>
    <n v="0"/>
    <n v="0"/>
    <n v="1.4"/>
    <n v="42.857142857142861"/>
    <n v="173.7555427006632"/>
    <n v="173.7555427006632"/>
    <n v="173.7555427006632"/>
    <n v="186.23830176138387"/>
    <n v="186.23830176138387"/>
    <n v="186.23830176138387"/>
    <n v="33.484183097839633"/>
    <n v="33.484183097839633"/>
    <n v="33.484183097839633"/>
    <n v="258.6587129254512"/>
    <n v="258.6587129254512"/>
    <n v="258.6587129254512"/>
    <m/>
    <m/>
    <m/>
    <n v="4.81796323001545"/>
    <n v="4.81796323001545"/>
    <n v="4.81796323001545"/>
    <n v="1.0077054389940488E-2"/>
    <n v="1.0077054389940488E-2"/>
    <n v="1.0077054389940488E-2"/>
    <m/>
    <m/>
    <m/>
    <m/>
    <m/>
    <m/>
    <m/>
    <x v="0"/>
    <m/>
    <m/>
  </r>
  <r>
    <x v="2"/>
    <s v="Holzdecke"/>
    <n v="3"/>
    <s v="Referenz MiWo"/>
    <x v="12"/>
    <s v="Dampfbremse"/>
    <s v="PE Folie"/>
    <s v="nein"/>
    <n v="0.2"/>
    <n v="0.2"/>
    <n v="0.2"/>
    <n v="1"/>
    <m/>
    <n v="0"/>
    <n v="0"/>
    <n v="0"/>
    <n v="0.28000000000000003"/>
    <n v="0.28000000000000003"/>
    <n v="0.28000000000000003"/>
    <s v=" "/>
    <s v="99792cbc-c5f4-4d2d-bc9e-3790509891a0"/>
    <n v="1390"/>
    <n v="0.2"/>
    <n v="0"/>
    <n v="0.17"/>
    <n v="1.1764705882352942"/>
    <n v="0.56566490833487659"/>
    <n v="0.56566490833487659"/>
    <n v="0.56566490833487659"/>
    <n v="0.70605426967153773"/>
    <n v="0.70605426967153773"/>
    <n v="0.70605426967153773"/>
    <n v="0.55327120946390662"/>
    <n v="0.55327120946390662"/>
    <n v="0.55327120946390662"/>
    <n v="20.491472968565958"/>
    <n v="20.491472968565958"/>
    <n v="20.491472968565958"/>
    <m/>
    <m/>
    <m/>
    <n v="0.28989199614304856"/>
    <n v="0.28989199614304856"/>
    <n v="0.28989199614304856"/>
    <n v="2.3771240070454252E-4"/>
    <n v="2.3771240070454252E-4"/>
    <n v="2.3771240070454252E-4"/>
    <m/>
    <m/>
    <m/>
    <m/>
    <m/>
    <m/>
    <m/>
    <x v="0"/>
    <m/>
    <m/>
  </r>
  <r>
    <x v="2"/>
    <s v="Holzdecke"/>
    <n v="3"/>
    <s v="Referenz MiWo"/>
    <x v="12"/>
    <s v="Dämmung, Holzdecke"/>
    <s v="Mineralwolle"/>
    <s v="ja"/>
    <n v="40"/>
    <n v="0"/>
    <n v="120"/>
    <n v="1"/>
    <m/>
    <n v="0.04"/>
    <n v="0"/>
    <n v="0.12"/>
    <n v="1.85"/>
    <n v="0"/>
    <n v="5.55"/>
    <m/>
    <s v="f8afef87-5de3-4996-838c-1f2af9ef81df"/>
    <n v="46.25"/>
    <n v="0"/>
    <n v="0"/>
    <n v="4.2000000000000003E-2"/>
    <n v="952.38095238095229"/>
    <n v="3.5650613285708044"/>
    <n v="0"/>
    <n v="10.695183985712411"/>
    <n v="4.3264074367388643"/>
    <n v="0"/>
    <n v="12.97922231021659"/>
    <n v="1.8311870375301069"/>
    <n v="0"/>
    <n v="5.4935611125903199"/>
    <n v="39.357787056474841"/>
    <n v="0"/>
    <n v="118.07336116942452"/>
    <m/>
    <m/>
    <m/>
    <n v="2.0048328023872855"/>
    <n v="0"/>
    <n v="6.0144984071618559"/>
    <n v="7.2248968274475308E-4"/>
    <n v="0"/>
    <n v="2.1674690482342586E-3"/>
    <m/>
    <m/>
    <m/>
    <m/>
    <m/>
    <m/>
    <m/>
    <x v="0"/>
    <m/>
    <m/>
  </r>
  <r>
    <x v="2"/>
    <s v="Holzdecke"/>
    <n v="3"/>
    <s v="Referenz MiWo"/>
    <x v="12"/>
    <s v="Konstruktionsvollholz"/>
    <s v="Konstruktionsvollholz"/>
    <s v="nein"/>
    <n v="240"/>
    <n v="240"/>
    <n v="240"/>
    <n v="0.4"/>
    <m/>
    <n v="0.1"/>
    <n v="0.1"/>
    <n v="0.1"/>
    <n v="47.32"/>
    <n v="47.32"/>
    <n v="47.32"/>
    <s v="Balkenabstand 60 cm"/>
    <s v="1a70d292-a82c-42a6-a378-d3cbd9a9af4e"/>
    <n v="492.92"/>
    <n v="0"/>
    <n v="0"/>
    <n v="0.1"/>
    <n v="2400"/>
    <n v="95.691388953193027"/>
    <n v="95.691388953193027"/>
    <n v="95.691388953193027"/>
    <n v="110.77298355748439"/>
    <n v="110.77298355748439"/>
    <n v="110.77298355748439"/>
    <n v="9.9640688345138742"/>
    <n v="9.9640688345138742"/>
    <n v="9.9640688345138742"/>
    <n v="180.42477865064654"/>
    <n v="180.42477865064654"/>
    <n v="180.42477865064654"/>
    <m/>
    <m/>
    <m/>
    <n v="4.0192086721652354"/>
    <n v="4.0192086721652354"/>
    <n v="4.0192086721652354"/>
    <n v="5.1710170534109067E-3"/>
    <n v="5.1710170534109067E-3"/>
    <n v="5.1710170534109067E-3"/>
    <m/>
    <m/>
    <m/>
    <m/>
    <m/>
    <m/>
    <m/>
    <x v="0"/>
    <m/>
    <m/>
  </r>
  <r>
    <x v="2"/>
    <s v="Holzdecke"/>
    <n v="3"/>
    <s v="Referenz MiWo"/>
    <x v="12"/>
    <s v="Gipskartonplatte"/>
    <s v="Gipskartonplatte (12,5 mm)"/>
    <s v="nein"/>
    <n v="12.5"/>
    <n v="12.5"/>
    <n v="12.5"/>
    <n v="1"/>
    <m/>
    <n v="0.01"/>
    <n v="0.01"/>
    <n v="0.01"/>
    <n v="10"/>
    <n v="10"/>
    <n v="10"/>
    <s v=" "/>
    <s v="07423e99-8c7c-4e93-8311-dcf7ae85c41d"/>
    <n v="800"/>
    <n v="10"/>
    <n v="0"/>
    <n v="0.2"/>
    <n v="62.5"/>
    <n v="9.6885190926662101"/>
    <n v="9.6885190926662101"/>
    <n v="9.6885190926662101"/>
    <n v="10.504992021872901"/>
    <n v="10.504992021872901"/>
    <n v="10.504992021872901"/>
    <n v="2.5140556386449697"/>
    <n v="2.5140556386449697"/>
    <n v="2.5140556386449697"/>
    <n v="38.560990916917703"/>
    <n v="38.560990916917703"/>
    <n v="38.560990916917703"/>
    <m/>
    <m/>
    <m/>
    <n v="1.2506783392176499"/>
    <n v="1.2506783392176499"/>
    <n v="1.2506783392176499"/>
    <n v="8.7990794098609262E-4"/>
    <n v="8.7990794098609262E-4"/>
    <n v="8.7990794098609262E-4"/>
    <m/>
    <m/>
    <m/>
    <m/>
    <m/>
    <m/>
    <m/>
    <x v="0"/>
    <m/>
    <m/>
  </r>
  <r>
    <x v="2"/>
    <s v="Holzdecke"/>
    <n v="3"/>
    <s v="Referenz MiWo"/>
    <x v="12"/>
    <s v="Wandfarbe innen"/>
    <s v="Wandfarbe innen"/>
    <s v="nein"/>
    <n v="0.3"/>
    <n v="0.3"/>
    <n v="0.3"/>
    <n v="1"/>
    <m/>
    <n v="0"/>
    <n v="0"/>
    <n v="0"/>
    <n v="0.36"/>
    <n v="0.36"/>
    <n v="0.36"/>
    <s v="2-lagig"/>
    <s v="35be6146-5a80-4a9e-a32d-5d05c03a8d5c"/>
    <n v="1200"/>
    <n v="0"/>
    <n v="0"/>
    <n v="0"/>
    <m/>
    <n v="18.414918316349567"/>
    <n v="18.414918316349567"/>
    <n v="18.414918316349567"/>
    <n v="19.283701585763701"/>
    <n v="19.283701585763701"/>
    <n v="19.283701585763701"/>
    <n v="1.4819675623276174"/>
    <n v="1.4819675623276174"/>
    <n v="1.4819675623276174"/>
    <n v="26.487832156511757"/>
    <n v="26.487832156511757"/>
    <n v="26.487832156511757"/>
    <m/>
    <m/>
    <m/>
    <n v="1.5601151185896418"/>
    <n v="1.5601151185896418"/>
    <n v="1.5601151185896418"/>
    <n v="9.663696742941237E-4"/>
    <n v="9.663696742941237E-4"/>
    <n v="9.663696742941237E-4"/>
    <m/>
    <m/>
    <m/>
    <m/>
    <m/>
    <m/>
    <m/>
    <x v="0"/>
    <m/>
    <m/>
  </r>
  <r>
    <x v="2"/>
    <s v="Metalldecke"/>
    <n v="2"/>
    <s v="Referenz XPS"/>
    <x v="13"/>
    <s v="Gipskartonlochplatte"/>
    <s v="Gipskartonplatte (gelocht, 12,5 mm)"/>
    <s v="nein"/>
    <n v="12.5"/>
    <n v="12.5"/>
    <n v="12.5"/>
    <n v="1"/>
    <m/>
    <n v="0.01"/>
    <n v="0.01"/>
    <n v="0.01"/>
    <n v="10"/>
    <n v="10"/>
    <n v="10"/>
    <s v=" "/>
    <s v="207cde6a-73be-4ffb-972d-30d3d8619fc3"/>
    <n v="800"/>
    <n v="8.5"/>
    <n v="0"/>
    <n v="0.2"/>
    <n v="62.5"/>
    <n v="9.6885190926662101"/>
    <n v="9.6885190926662101"/>
    <n v="9.6885190926662101"/>
    <n v="10.504992021872901"/>
    <n v="10.504992021872901"/>
    <n v="10.504992021872901"/>
    <n v="2.5140556386449697"/>
    <n v="2.5140556386449697"/>
    <n v="2.5140556386449697"/>
    <n v="38.560990916917703"/>
    <n v="38.560990916917703"/>
    <n v="38.560990916917703"/>
    <m/>
    <m/>
    <m/>
    <n v="1.2506783392176499"/>
    <n v="1.2506783392176499"/>
    <n v="1.2506783392176499"/>
    <n v="8.7990794098609262E-4"/>
    <n v="8.7990794098609262E-4"/>
    <n v="8.7990794098609262E-4"/>
    <m/>
    <m/>
    <m/>
    <m/>
    <m/>
    <m/>
    <m/>
    <x v="0"/>
    <m/>
    <m/>
  </r>
  <r>
    <x v="2"/>
    <s v="Metalldecke"/>
    <n v="2"/>
    <s v="Referenz XPS"/>
    <x v="13"/>
    <s v="Stahl verzinkt"/>
    <s v="Stahlprofil"/>
    <s v="nein"/>
    <n v="160"/>
    <n v="160"/>
    <n v="160"/>
    <n v="0.2"/>
    <n v="0.2"/>
    <n v="0.03"/>
    <n v="0.03"/>
    <n v="0.03"/>
    <n v="6.08"/>
    <n v="6.08"/>
    <n v="6.08"/>
    <s v=" "/>
    <s v="38051c22-fbd1-4b0e-944a-ae348b8c7695"/>
    <n v="7850"/>
    <n v="0"/>
    <n v="30.4"/>
    <n v="50"/>
    <n v="3.2"/>
    <n v="36.119347387548679"/>
    <n v="36.119347387548679"/>
    <n v="36.119347387548679"/>
    <n v="56.376505694449037"/>
    <n v="56.376505694449037"/>
    <n v="56.376505694449037"/>
    <n v="13.238896995263897"/>
    <n v="13.238896995263897"/>
    <n v="13.238896995263897"/>
    <n v="192.68175266975854"/>
    <n v="192.68175266975854"/>
    <n v="192.68175266975854"/>
    <m/>
    <m/>
    <m/>
    <n v="6.6459238526822819"/>
    <n v="6.6459238526822819"/>
    <n v="6.6459238526822819"/>
    <n v="4.1565579708814143E-3"/>
    <n v="4.1565579708814143E-3"/>
    <n v="4.1565579708814143E-3"/>
    <m/>
    <m/>
    <m/>
    <m/>
    <m/>
    <m/>
    <m/>
    <x v="0"/>
    <m/>
    <m/>
  </r>
  <r>
    <x v="2"/>
    <s v="Metalldecke"/>
    <n v="2"/>
    <s v="Referenz XPS"/>
    <x v="13"/>
    <s v="Stahl verzinkt"/>
    <s v="Stahlprofil"/>
    <s v="nein"/>
    <n v="80"/>
    <n v="80"/>
    <n v="80"/>
    <n v="0.2"/>
    <n v="0.2"/>
    <n v="0.02"/>
    <n v="0.02"/>
    <n v="0.02"/>
    <n v="3"/>
    <n v="3"/>
    <n v="3"/>
    <s v="Längengewicht händisch eingefügt"/>
    <s v="38051c22-fbd1-4b0e-944a-ae348b8c7695"/>
    <n v="7850"/>
    <n v="0"/>
    <n v="15"/>
    <n v="50"/>
    <n v="1.6"/>
    <n v="17.822046408329939"/>
    <n v="17.822046408329939"/>
    <n v="17.822046408329939"/>
    <n v="27.817354783445246"/>
    <n v="27.817354783445246"/>
    <n v="27.817354783445246"/>
    <n v="6.5323504910841592"/>
    <n v="6.5323504910841592"/>
    <n v="6.5323504910841592"/>
    <n v="95.073233225209805"/>
    <n v="95.073233225209805"/>
    <n v="95.073233225209805"/>
    <m/>
    <m/>
    <m/>
    <n v="3.2792387430998104"/>
    <n v="3.2792387430998104"/>
    <n v="3.2792387430998104"/>
    <n v="2.0509332093164873E-3"/>
    <n v="2.0509332093164873E-3"/>
    <n v="2.0509332093164873E-3"/>
    <m/>
    <m/>
    <m/>
    <m/>
    <m/>
    <m/>
    <m/>
    <x v="0"/>
    <m/>
    <m/>
  </r>
  <r>
    <x v="2"/>
    <s v="Metalldecke"/>
    <n v="2"/>
    <s v="Referenz XPS"/>
    <x v="13"/>
    <s v="Dämmung, Metalldecke"/>
    <s v="Extrudierter Polystyrol Dämmstoff (XPS)"/>
    <s v="ja"/>
    <n v="140"/>
    <n v="100"/>
    <n v="220"/>
    <n v="1"/>
    <n v="1"/>
    <n v="0.14000000000000001"/>
    <n v="0.1"/>
    <n v="0.22"/>
    <n v="4.4800000000000004"/>
    <n v="3.2"/>
    <n v="7.04"/>
    <s v="XPS"/>
    <s v="43e99b8c-90d8-4fcd-90ce-342fb0b7366e"/>
    <n v="32"/>
    <n v="0"/>
    <n v="0"/>
    <n v="3.6999999999999998E-2"/>
    <n v="3783.7837837837837"/>
    <n v="11.915567487274574"/>
    <n v="8.511119633767553"/>
    <n v="18.724463194288614"/>
    <n v="14.689793254348174"/>
    <n v="10.492709467391553"/>
    <n v="23.083960828261414"/>
    <n v="18.238828078980589"/>
    <n v="13.027734342128992"/>
    <n v="28.661015552683782"/>
    <n v="422.66865453497041"/>
    <n v="301.90618181069311"/>
    <n v="664.1935999835249"/>
    <m/>
    <m/>
    <m/>
    <n v="14.740010857453953"/>
    <n v="10.52857918389568"/>
    <n v="23.162874204570496"/>
    <n v="6.3058618078838877E-3"/>
    <n v="4.5041870056313476E-3"/>
    <n v="9.9092114123889644E-3"/>
    <m/>
    <m/>
    <m/>
    <m/>
    <m/>
    <m/>
    <m/>
    <x v="0"/>
    <m/>
    <m/>
  </r>
  <r>
    <x v="2"/>
    <s v="Metalldecke"/>
    <n v="2"/>
    <s v="Referenz XPS"/>
    <x v="13"/>
    <s v="Gipskartonfaserplatte"/>
    <s v="Trockenestrich (Gipsfaserplatte, 25 mm)"/>
    <s v="nein"/>
    <n v="12.5"/>
    <n v="12.5"/>
    <n v="12.5"/>
    <n v="1"/>
    <n v="1"/>
    <n v="0.01"/>
    <n v="0.01"/>
    <n v="0.01"/>
    <n v="14.75"/>
    <n v="14.75"/>
    <n v="14.75"/>
    <s v=" "/>
    <s v="a9a79b38-dc2c-4b51-a3cc-cf9fa0d299e7"/>
    <n v="1180"/>
    <n v="24.07"/>
    <n v="0"/>
    <n v="1.2"/>
    <n v="10.416666666666668"/>
    <n v="11.875215319731202"/>
    <n v="11.875215319731202"/>
    <n v="11.875215319731202"/>
    <n v="12.798521946138338"/>
    <n v="12.798521946138338"/>
    <n v="12.798521946138338"/>
    <n v="2.7494730811355699"/>
    <n v="2.7494730811355699"/>
    <n v="2.7494730811355699"/>
    <n v="41.383269420516548"/>
    <n v="41.383269420516548"/>
    <n v="41.383269420516548"/>
    <m/>
    <m/>
    <m/>
    <n v="1.3588455343138353"/>
    <n v="1.3588455343138353"/>
    <n v="1.3588455343138353"/>
    <n v="9.9093607355654778E-4"/>
    <n v="9.9093607355654778E-4"/>
    <n v="9.9093607355654778E-4"/>
    <m/>
    <m/>
    <m/>
    <m/>
    <m/>
    <m/>
    <m/>
    <x v="0"/>
    <m/>
    <m/>
  </r>
  <r>
    <x v="2"/>
    <s v="Stahlbetondecke"/>
    <n v="1"/>
    <s v="Referenz EPS"/>
    <x v="14"/>
    <s v="Bodenbelag"/>
    <s v="Linoleum"/>
    <s v="nein"/>
    <n v="2.5"/>
    <n v="2.5"/>
    <n v="2.5"/>
    <n v="1"/>
    <m/>
    <n v="0"/>
    <n v="0"/>
    <n v="0"/>
    <n v="3"/>
    <n v="3"/>
    <n v="3"/>
    <s v=" "/>
    <s v="56e977b3-d042-4843-b40d-3a33dbb5a555"/>
    <n v="1200"/>
    <n v="3"/>
    <n v="0"/>
    <n v="0.2"/>
    <n v="12.5"/>
    <n v="25.892138811192027"/>
    <n v="25.892138811192027"/>
    <n v="25.892138811192027"/>
    <n v="28.559013021728106"/>
    <n v="28.559013021728106"/>
    <n v="28.559013021728106"/>
    <n v="4.8667699335648864"/>
    <n v="4.8667699335648864"/>
    <n v="4.8667699335648864"/>
    <n v="81.921191415921896"/>
    <n v="81.921191415921896"/>
    <n v="81.921191415921896"/>
    <m/>
    <m/>
    <m/>
    <n v="10.618839375204947"/>
    <n v="10.618839375204947"/>
    <n v="10.618839375204947"/>
    <n v="2.6762612954026187E-3"/>
    <n v="2.6762612954026187E-3"/>
    <n v="2.6762612954026187E-3"/>
    <m/>
    <m/>
    <m/>
    <m/>
    <m/>
    <m/>
    <m/>
    <x v="0"/>
    <m/>
    <m/>
  </r>
  <r>
    <x v="2"/>
    <s v="Stahlbetondecke"/>
    <n v="1"/>
    <s v="Referenz EPS"/>
    <x v="14"/>
    <s v="Estrich"/>
    <s v="Zementestrich"/>
    <s v="nein"/>
    <n v="55"/>
    <n v="55"/>
    <n v="55"/>
    <n v="1"/>
    <m/>
    <n v="0.06"/>
    <n v="0.06"/>
    <n v="0.06"/>
    <n v="132"/>
    <n v="132"/>
    <n v="132"/>
    <s v=" "/>
    <s v="0973f221-2284-4892-ae3d-1b8c2986b6dd"/>
    <n v="2400"/>
    <n v="0"/>
    <n v="0"/>
    <n v="1.4"/>
    <n v="39.285714285714285"/>
    <n v="159.27591414227459"/>
    <n v="159.27591414227459"/>
    <n v="159.27591414227459"/>
    <n v="170.71844328126852"/>
    <n v="170.71844328126852"/>
    <n v="170.71844328126852"/>
    <n v="30.693834506352999"/>
    <n v="30.693834506352999"/>
    <n v="30.693834506352999"/>
    <n v="237.10382018166359"/>
    <n v="237.10382018166359"/>
    <n v="237.10382018166359"/>
    <m/>
    <m/>
    <m/>
    <n v="4.4164662941808288"/>
    <n v="4.4164662941808288"/>
    <n v="4.4164662941808288"/>
    <n v="9.2372998574454471E-3"/>
    <n v="9.2372998574454471E-3"/>
    <n v="9.2372998574454471E-3"/>
    <m/>
    <m/>
    <m/>
    <m/>
    <m/>
    <m/>
    <m/>
    <x v="0"/>
    <m/>
    <m/>
  </r>
  <r>
    <x v="2"/>
    <s v="Stahlbetondecke"/>
    <n v="1"/>
    <s v="Referenz EPS"/>
    <x v="14"/>
    <s v="Dämmung, Betondecke"/>
    <s v="Expandiertes Polystyrol (EPS)"/>
    <s v="ja"/>
    <n v="80"/>
    <n v="40"/>
    <n v="160"/>
    <n v="1"/>
    <m/>
    <n v="0.08"/>
    <n v="0.04"/>
    <n v="0.16"/>
    <n v="2"/>
    <n v="1"/>
    <n v="4"/>
    <s v=" "/>
    <s v="1be79c83-2ab7-4d30-a44b-8f463376e51e"/>
    <n v="25"/>
    <n v="0"/>
    <n v="0"/>
    <n v="0.03"/>
    <n v="2666.666666666667"/>
    <n v="4.2006849708512597"/>
    <n v="2.1003424854256298"/>
    <n v="8.4013699417025194"/>
    <n v="4.9225694466775201"/>
    <n v="2.46128472333876"/>
    <n v="9.8451388933550401"/>
    <n v="7.3458505619799004"/>
    <n v="3.6729252809899502"/>
    <n v="14.691701123959801"/>
    <n v="172.43350511395019"/>
    <n v="86.216752556975095"/>
    <n v="344.86701022790038"/>
    <m/>
    <m/>
    <m/>
    <n v="5.2955597894295403"/>
    <n v="2.6477798947147702"/>
    <n v="10.591119578859081"/>
    <n v="2.4823142245463622E-3"/>
    <n v="1.2411571122731811E-3"/>
    <n v="4.9646284490927244E-3"/>
    <m/>
    <m/>
    <m/>
    <m/>
    <m/>
    <m/>
    <m/>
    <x v="0"/>
    <m/>
    <m/>
  </r>
  <r>
    <x v="2"/>
    <s v="Stahlbetondecke"/>
    <n v="1"/>
    <s v="Referenz EPS"/>
    <x v="14"/>
    <s v="Dampfbremse"/>
    <s v="PE Folie"/>
    <s v="nein"/>
    <n v="0.2"/>
    <n v="0.2"/>
    <n v="0.2"/>
    <n v="1"/>
    <m/>
    <n v="0"/>
    <n v="0"/>
    <n v="0"/>
    <n v="0.28000000000000003"/>
    <n v="0.28000000000000003"/>
    <n v="0.28000000000000003"/>
    <s v=" "/>
    <s v="99792cbc-c5f4-4d2d-bc9e-3790509891a0"/>
    <n v="1390"/>
    <n v="0.2"/>
    <n v="0"/>
    <n v="0.17"/>
    <n v="1.1764705882352942"/>
    <n v="0.56566490833487659"/>
    <n v="0.56566490833487659"/>
    <n v="0.56566490833487659"/>
    <n v="0.70605426967153773"/>
    <n v="0.70605426967153773"/>
    <n v="0.70605426967153773"/>
    <n v="0.55327120946390662"/>
    <n v="0.55327120946390662"/>
    <n v="0.55327120946390662"/>
    <n v="20.491472968565958"/>
    <n v="20.491472968565958"/>
    <n v="20.491472968565958"/>
    <m/>
    <m/>
    <m/>
    <n v="0.28989199614304856"/>
    <n v="0.28989199614304856"/>
    <n v="0.28989199614304856"/>
    <n v="2.3771240070454252E-4"/>
    <n v="2.3771240070454252E-4"/>
    <n v="2.3771240070454252E-4"/>
    <m/>
    <m/>
    <m/>
    <m/>
    <m/>
    <m/>
    <m/>
    <x v="0"/>
    <m/>
    <m/>
  </r>
  <r>
    <x v="2"/>
    <s v="Stahlbetondecke"/>
    <n v="1"/>
    <s v="Referenz EPS"/>
    <x v="14"/>
    <s v="Beton C30/37"/>
    <s v="Beton C30/37"/>
    <s v="nein"/>
    <n v="200"/>
    <n v="200"/>
    <n v="200"/>
    <n v="0.99"/>
    <m/>
    <n v="0.2"/>
    <n v="0.2"/>
    <n v="0.2"/>
    <n v="467.46"/>
    <n v="467.46"/>
    <n v="467.46"/>
    <s v="EPS, 0,035 W/Km"/>
    <s v="a758fb6a-7fb1-4cdc-b652-c42cf2f7632c"/>
    <n v="2360"/>
    <n v="0"/>
    <n v="0"/>
    <n v="1.4"/>
    <n v="142.85714285714286"/>
    <n v="485.91717513003096"/>
    <n v="485.91717513003096"/>
    <n v="485.91717513003096"/>
    <n v="508.29023081064747"/>
    <n v="508.29023081064747"/>
    <n v="508.29023081064747"/>
    <n v="53.874509641676447"/>
    <n v="53.874509641676447"/>
    <n v="53.874509641676447"/>
    <n v="403.18256523836709"/>
    <n v="403.18256523836709"/>
    <n v="403.18256523836709"/>
    <m/>
    <m/>
    <m/>
    <n v="18.878309340484076"/>
    <n v="18.878309340484076"/>
    <n v="18.878309340484076"/>
    <n v="2.2758948737978974E-2"/>
    <n v="2.2758948737978974E-2"/>
    <n v="2.2758948737978974E-2"/>
    <m/>
    <m/>
    <m/>
    <m/>
    <m/>
    <m/>
    <m/>
    <x v="0"/>
    <m/>
    <m/>
  </r>
  <r>
    <x v="2"/>
    <s v="Stahlbetondecke"/>
    <n v="1"/>
    <s v="Referenz EPS"/>
    <x v="14"/>
    <s v="Bewehrung"/>
    <s v="Bewehrungsstahl"/>
    <s v="nein"/>
    <n v="200"/>
    <n v="200"/>
    <n v="200"/>
    <n v="0.01"/>
    <m/>
    <n v="0"/>
    <n v="0"/>
    <n v="0"/>
    <n v="15.1"/>
    <n v="15.1"/>
    <n v="15.1"/>
    <s v="Bewehrungsstahl 75 kg/m³"/>
    <s v="e9ae96ee-ba8d-420d-9725-7c8abd06e082"/>
    <n v="7850"/>
    <n v="0"/>
    <n v="0"/>
    <n v="50"/>
    <n v="4"/>
    <n v="78.961565266522499"/>
    <n v="78.961565266522499"/>
    <n v="78.961565266522499"/>
    <n v="124.62105647031575"/>
    <n v="124.62105647031575"/>
    <n v="124.62105647031575"/>
    <n v="32.713871393735005"/>
    <n v="32.713871393735005"/>
    <n v="32.713871393735005"/>
    <n v="461.33060721498344"/>
    <n v="461.33060721498344"/>
    <n v="461.33060721498344"/>
    <m/>
    <m/>
    <m/>
    <n v="13.798007463719571"/>
    <n v="13.798007463719571"/>
    <n v="13.798007463719571"/>
    <n v="9.6512480465876706E-3"/>
    <n v="9.6512480465876706E-3"/>
    <n v="9.6512480465876706E-3"/>
    <m/>
    <m/>
    <m/>
    <m/>
    <m/>
    <m/>
    <m/>
    <x v="0"/>
    <m/>
    <m/>
  </r>
  <r>
    <x v="3"/>
    <s v="Flachdach - Stahlbeton"/>
    <n v="2"/>
    <s v="Referenz PIR"/>
    <x v="15"/>
    <s v="Bewehrung"/>
    <s v="Bewehrungsstahl"/>
    <s v="nein"/>
    <n v="200"/>
    <n v="200"/>
    <n v="200"/>
    <n v="0.01"/>
    <m/>
    <n v="0"/>
    <n v="0"/>
    <n v="0"/>
    <n v="15.1"/>
    <n v="15.1"/>
    <n v="15.1"/>
    <s v="Bewehrungsstahl 75 kg/m³"/>
    <s v="e9ae96ee-ba8d-420d-9725-7c8abd06e082"/>
    <n v="7850"/>
    <n v="0"/>
    <n v="0"/>
    <n v="50"/>
    <n v="4"/>
    <n v="78.961565266522499"/>
    <n v="78.961565266522499"/>
    <n v="78.961565266522499"/>
    <n v="124.62105647031575"/>
    <n v="124.62105647031575"/>
    <n v="124.62105647031575"/>
    <n v="32.713871393735005"/>
    <n v="32.713871393735005"/>
    <n v="32.713871393735005"/>
    <n v="461.33060721498344"/>
    <n v="461.33060721498344"/>
    <n v="461.33060721498344"/>
    <m/>
    <m/>
    <m/>
    <n v="13.798007463719571"/>
    <n v="13.798007463719571"/>
    <n v="13.798007463719571"/>
    <n v="9.6512480465876706E-3"/>
    <n v="9.6512480465876706E-3"/>
    <n v="9.6512480465876706E-3"/>
    <m/>
    <m/>
    <m/>
    <m/>
    <m/>
    <m/>
    <m/>
    <x v="0"/>
    <m/>
    <m/>
  </r>
  <r>
    <x v="3"/>
    <s v="Flachdach - Stahlbeton"/>
    <n v="2"/>
    <s v="Referenz PIR"/>
    <x v="15"/>
    <s v="Beton, C20/25"/>
    <s v="Beton C20/25"/>
    <s v="nein"/>
    <n v="200"/>
    <n v="200"/>
    <n v="200"/>
    <n v="0.99"/>
    <m/>
    <n v="0.2"/>
    <n v="0.2"/>
    <n v="0.2"/>
    <n v="467.46"/>
    <n v="467.46"/>
    <n v="467.46"/>
    <m/>
    <s v="9702d9ab-2af2-4fdc-9d99-225583a9ffb7"/>
    <n v="2360"/>
    <n v="0"/>
    <n v="0"/>
    <n v="1.4"/>
    <n v="142.85714285714286"/>
    <n v="466.56903407462204"/>
    <n v="466.56903407462204"/>
    <n v="466.56903407462204"/>
    <n v="483.77214609327149"/>
    <n v="483.77214609327149"/>
    <n v="483.77214609327149"/>
    <n v="39.493529271958522"/>
    <n v="39.493529271958522"/>
    <n v="39.493529271958522"/>
    <n v="309.39589658756137"/>
    <n v="309.39589658756137"/>
    <n v="309.39589658756137"/>
    <m/>
    <m/>
    <m/>
    <n v="19.573895142447551"/>
    <n v="19.573895142447551"/>
    <n v="19.573895142447551"/>
    <n v="2.0313630481324459E-2"/>
    <n v="2.0313630481324459E-2"/>
    <n v="2.0313630481324459E-2"/>
    <m/>
    <m/>
    <m/>
    <m/>
    <m/>
    <m/>
    <m/>
    <x v="0"/>
    <m/>
    <m/>
  </r>
  <r>
    <x v="3"/>
    <s v="Flachdach - Stahlbeton"/>
    <n v="2"/>
    <s v="Referenz PIR"/>
    <x v="15"/>
    <s v="Dampfbremse"/>
    <s v="PE Folie"/>
    <s v="nein"/>
    <n v="0.2"/>
    <n v="0.2"/>
    <n v="0.2"/>
    <n v="1"/>
    <m/>
    <n v="0"/>
    <n v="0"/>
    <n v="0"/>
    <n v="0.28000000000000003"/>
    <n v="0.28000000000000003"/>
    <n v="0.28000000000000003"/>
    <s v=" "/>
    <s v="99792cbc-c5f4-4d2d-bc9e-3790509891a0"/>
    <n v="1390"/>
    <n v="0.2"/>
    <n v="0"/>
    <n v="0.17"/>
    <n v="1.1764705882352942"/>
    <n v="0.56566490833487659"/>
    <n v="0.56566490833487659"/>
    <n v="0.56566490833487659"/>
    <n v="0.70605426967153773"/>
    <n v="0.70605426967153773"/>
    <n v="0.70605426967153773"/>
    <n v="0.55327120946390662"/>
    <n v="0.55327120946390662"/>
    <n v="0.55327120946390662"/>
    <n v="20.491472968565958"/>
    <n v="20.491472968565958"/>
    <n v="20.491472968565958"/>
    <m/>
    <m/>
    <m/>
    <n v="0.28989199614304856"/>
    <n v="0.28989199614304856"/>
    <n v="0.28989199614304856"/>
    <n v="2.3771240070454252E-4"/>
    <n v="2.3771240070454252E-4"/>
    <n v="2.3771240070454252E-4"/>
    <m/>
    <m/>
    <m/>
    <m/>
    <m/>
    <m/>
    <m/>
    <x v="0"/>
    <m/>
    <m/>
  </r>
  <r>
    <x v="3"/>
    <s v="Flachdach - Stahlbeton"/>
    <n v="2"/>
    <s v="Referenz PIR"/>
    <x v="15"/>
    <s v="Dämmung. Flachdach"/>
    <s v="PIR Hartschaum"/>
    <s v="ja"/>
    <n v="120"/>
    <n v="80"/>
    <n v="200"/>
    <n v="1"/>
    <m/>
    <n v="0.12"/>
    <n v="0.08"/>
    <n v="0.2"/>
    <n v="3.6"/>
    <n v="2.4"/>
    <n v="6"/>
    <s v=" "/>
    <s v="2c076ee7-3853-4f69-9bf5-8ec265fa43e0"/>
    <n v="30"/>
    <n v="0"/>
    <n v="0"/>
    <n v="2.5999999999999999E-2"/>
    <n v="4615.3846153846152"/>
    <n v="23.216335199521307"/>
    <n v="15.477556799680871"/>
    <n v="38.693891999202179"/>
    <n v="29.308050627900545"/>
    <n v="19.538700418600367"/>
    <n v="48.846751046500913"/>
    <n v="11.251888276319999"/>
    <n v="7.5012588508799993"/>
    <n v="18.753147127200002"/>
    <n v="261.17116632"/>
    <n v="174.11411088"/>
    <n v="435.2852772"/>
    <m/>
    <m/>
    <m/>
    <n v="19.185573930911747"/>
    <n v="12.790382620607833"/>
    <n v="31.97595655151958"/>
    <n v="5.220978089262758E-3"/>
    <n v="3.4806520595085056E-3"/>
    <n v="8.7016301487712645E-3"/>
    <m/>
    <m/>
    <m/>
    <m/>
    <m/>
    <m/>
    <m/>
    <x v="0"/>
    <m/>
    <m/>
  </r>
  <r>
    <x v="3"/>
    <s v="Flachdach - Stahlbeton"/>
    <n v="2"/>
    <s v="Referenz PIR"/>
    <x v="15"/>
    <s v="Abdichtungsbahn"/>
    <s v="EPDM Dachbahn"/>
    <s v="nein"/>
    <n v="5"/>
    <n v="5"/>
    <n v="5"/>
    <n v="1"/>
    <m/>
    <n v="0"/>
    <n v="0"/>
    <n v="0"/>
    <n v="5.75"/>
    <n v="5.75"/>
    <n v="5.75"/>
    <m/>
    <s v="341e2e42-dab2-427b-86f6-a80c701b6071"/>
    <n v="1150"/>
    <n v="2"/>
    <n v="0"/>
    <n v="0.3"/>
    <n v="16.666666666666668"/>
    <n v="19.658485352407961"/>
    <n v="19.658485352407961"/>
    <n v="19.658485352407961"/>
    <n v="25.632007958102854"/>
    <n v="25.632007958102854"/>
    <n v="25.632007958102854"/>
    <n v="13.727878671285412"/>
    <n v="13.727878671285412"/>
    <n v="13.727878671285412"/>
    <n v="463.17637868013645"/>
    <n v="463.17637868013645"/>
    <n v="463.17637868013645"/>
    <m/>
    <m/>
    <m/>
    <n v="11.782133311776372"/>
    <n v="11.782133311776372"/>
    <n v="11.782133311776372"/>
    <n v="6.1352855214924975E-3"/>
    <n v="6.1352855214924975E-3"/>
    <n v="6.1352855214924975E-3"/>
    <m/>
    <m/>
    <m/>
    <m/>
    <m/>
    <m/>
    <m/>
    <x v="0"/>
    <m/>
    <m/>
  </r>
  <r>
    <x v="3"/>
    <s v="Flachdach - Stahlbeton"/>
    <n v="2"/>
    <s v="Referenz PIR"/>
    <x v="15"/>
    <s v="Schwere Schutzschicht"/>
    <s v="Kies"/>
    <s v="nein"/>
    <n v="40"/>
    <n v="40"/>
    <n v="40"/>
    <n v="1"/>
    <m/>
    <n v="0.04"/>
    <n v="0.04"/>
    <n v="0.04"/>
    <n v="74"/>
    <n v="74"/>
    <n v="74"/>
    <s v=" "/>
    <s v="3ce61a4e-4d91-4b1d-b675-276be05b9225"/>
    <n v="1850"/>
    <n v="0"/>
    <n v="0"/>
    <n v="1.4"/>
    <n v="28.571428571428573"/>
    <n v="77.787970098647634"/>
    <n v="77.787970098647634"/>
    <n v="77.787970098647634"/>
    <n v="78.832555787420873"/>
    <n v="78.832555787420873"/>
    <n v="78.832555787420873"/>
    <n v="0.61379340894079937"/>
    <n v="0.61379340894079937"/>
    <n v="0.61379340894079937"/>
    <n v="10.80622575386186"/>
    <n v="10.80622575386186"/>
    <n v="10.80622575386186"/>
    <m/>
    <m/>
    <m/>
    <n v="1.1981825784725078"/>
    <n v="1.1981825784725078"/>
    <n v="1.1981825784725078"/>
    <n v="2.3701427526530514E-3"/>
    <n v="2.3701427526530514E-3"/>
    <n v="2.3701427526530514E-3"/>
    <m/>
    <m/>
    <m/>
    <m/>
    <m/>
    <m/>
    <m/>
    <x v="0"/>
    <m/>
    <m/>
  </r>
  <r>
    <x v="3"/>
    <s v="Schrägdach - Holzkonstruktion"/>
    <n v="1"/>
    <s v="Referenz MiWo"/>
    <x v="16"/>
    <s v="Dampfbremse"/>
    <s v="PE Folie"/>
    <s v="nein"/>
    <n v="0.2"/>
    <n v="0.2"/>
    <n v="0.2"/>
    <n v="1"/>
    <m/>
    <n v="0"/>
    <n v="0"/>
    <n v="0"/>
    <n v="0.28000000000000003"/>
    <n v="0.28000000000000003"/>
    <n v="0.28000000000000003"/>
    <s v=" "/>
    <s v="99792cbc-c5f4-4d2d-bc9e-3790509891a0"/>
    <n v="1390"/>
    <n v="0.2"/>
    <n v="0"/>
    <n v="0.17"/>
    <n v="1.1764705882352942"/>
    <n v="0.56566490833487659"/>
    <n v="0.56566490833487659"/>
    <n v="0.56566490833487659"/>
    <n v="0.70605426967153773"/>
    <n v="0.70605426967153773"/>
    <n v="0.70605426967153773"/>
    <n v="0.55327120946390662"/>
    <n v="0.55327120946390662"/>
    <n v="0.55327120946390662"/>
    <n v="20.491472968565958"/>
    <n v="20.491472968565958"/>
    <n v="20.491472968565958"/>
    <m/>
    <m/>
    <m/>
    <n v="0.28989199614304856"/>
    <n v="0.28989199614304856"/>
    <n v="0.28989199614304856"/>
    <n v="2.3771240070454252E-4"/>
    <n v="2.3771240070454252E-4"/>
    <n v="2.3771240070454252E-4"/>
    <m/>
    <m/>
    <m/>
    <m/>
    <m/>
    <m/>
    <m/>
    <x v="0"/>
    <m/>
    <m/>
  </r>
  <r>
    <x v="3"/>
    <s v="Schrägdach - Holzkonstruktion"/>
    <n v="1"/>
    <s v="Referenz MiWo"/>
    <x v="16"/>
    <s v="Konstruktionsvollholz"/>
    <s v="Konstruktionsvollholz"/>
    <s v="nein"/>
    <n v="120"/>
    <n v="120"/>
    <n v="120"/>
    <n v="0.03"/>
    <m/>
    <n v="0"/>
    <n v="0"/>
    <n v="0"/>
    <n v="1.97"/>
    <n v="1.97"/>
    <n v="1.97"/>
    <s v="Sparrenabstand 60 cm"/>
    <s v="1a70d292-a82c-42a6-a378-d3cbd9a9af4e"/>
    <n v="492.92"/>
    <n v="0"/>
    <n v="0"/>
    <n v="0.1"/>
    <n v="1200"/>
    <n v="3.9871412063830429"/>
    <n v="3.9871412063830429"/>
    <n v="3.9871412063830429"/>
    <n v="4.6155409815618498"/>
    <n v="4.6155409815618498"/>
    <n v="4.6155409815618498"/>
    <n v="0.41516953477141139"/>
    <n v="0.41516953477141139"/>
    <n v="0.41516953477141139"/>
    <n v="7.5176991104436057"/>
    <n v="7.5176991104436057"/>
    <n v="7.5176991104436057"/>
    <m/>
    <m/>
    <m/>
    <n v="0.16746702800688482"/>
    <n v="0.16746702800688482"/>
    <n v="0.16746702800688482"/>
    <n v="2.1545904389212115E-4"/>
    <n v="2.1545904389212115E-4"/>
    <n v="2.1545904389212115E-4"/>
    <m/>
    <m/>
    <m/>
    <m/>
    <m/>
    <m/>
    <m/>
    <x v="0"/>
    <m/>
    <m/>
  </r>
  <r>
    <x v="3"/>
    <s v="Schrägdach - Holzkonstruktion"/>
    <n v="1"/>
    <s v="Referenz MiWo"/>
    <x v="16"/>
    <s v="Dämmung, Schrägdach"/>
    <s v="Mineralwolle"/>
    <s v="ja"/>
    <n v="120"/>
    <n v="80"/>
    <n v="200"/>
    <n v="0.97"/>
    <m/>
    <n v="0.12"/>
    <n v="0.08"/>
    <n v="0.19"/>
    <n v="5.36"/>
    <n v="3.58"/>
    <n v="8.94"/>
    <s v=" "/>
    <s v="f8afef87-5de3-4996-838c-1f2af9ef81df"/>
    <n v="46.25"/>
    <n v="0"/>
    <n v="0"/>
    <n v="4.2000000000000003E-2"/>
    <n v="2857.1428571428569"/>
    <n v="10.33867785285533"/>
    <n v="6.8924519019035548"/>
    <n v="17.231129754758889"/>
    <n v="12.546581566542704"/>
    <n v="8.3643877110284706"/>
    <n v="20.91096927757118"/>
    <n v="5.310442408837309"/>
    <n v="3.5402949392248733"/>
    <n v="8.850737348062184"/>
    <n v="114.13758246377702"/>
    <n v="76.091721642518024"/>
    <n v="190.2293041062951"/>
    <m/>
    <m/>
    <m/>
    <n v="5.8140151269231266"/>
    <n v="3.8760100846154182"/>
    <n v="9.690025211538547"/>
    <n v="2.0952200799597832E-3"/>
    <n v="1.3968133866398556E-3"/>
    <n v="3.4920334665996399E-3"/>
    <m/>
    <m/>
    <m/>
    <m/>
    <m/>
    <m/>
    <m/>
    <x v="0"/>
    <m/>
    <m/>
  </r>
  <r>
    <x v="3"/>
    <s v="Schrägdach - Holzkonstruktion"/>
    <n v="1"/>
    <s v="Referenz MiWo"/>
    <x v="16"/>
    <s v="Unterspannbahn"/>
    <s v="Unterspannbahn PP"/>
    <s v="nein"/>
    <m/>
    <n v="0"/>
    <n v="0"/>
    <n v="1"/>
    <m/>
    <n v="0"/>
    <n v="0"/>
    <n v="0"/>
    <n v="0.15"/>
    <n v="0.15"/>
    <n v="0.15"/>
    <s v=" "/>
    <s v="deb7fe73-3eb8-4f80-937b-7ce3a0a977ed"/>
    <n v="0"/>
    <n v="0.15"/>
    <n v="0"/>
    <n v="0.22"/>
    <n v="0"/>
    <n v="0.55734693192457496"/>
    <n v="0.55734693192457496"/>
    <n v="0.55734693192457496"/>
    <n v="0.66592672663025554"/>
    <n v="0.66592672663025554"/>
    <n v="0.66592672663025554"/>
    <n v="0.42493087056683099"/>
    <n v="0.42493087056683099"/>
    <n v="0.42493087056683099"/>
    <n v="12.66890388061068"/>
    <n v="12.66890388061068"/>
    <n v="12.66890388061068"/>
    <m/>
    <m/>
    <m/>
    <n v="0.18950097800399698"/>
    <n v="0.18950097800399698"/>
    <n v="0.18950097800399698"/>
    <n v="1.610974356003416E-4"/>
    <n v="1.610974356003416E-4"/>
    <n v="1.610974356003416E-4"/>
    <m/>
    <m/>
    <m/>
    <m/>
    <m/>
    <m/>
    <m/>
    <x v="0"/>
    <m/>
    <m/>
  </r>
  <r>
    <x v="3"/>
    <s v="Schrägdach - Holzkonstruktion"/>
    <n v="1"/>
    <s v="Referenz MiWo"/>
    <x v="16"/>
    <s v="Dachziegel"/>
    <s v="Tondachziegel"/>
    <s v="nein"/>
    <m/>
    <n v="0"/>
    <n v="0"/>
    <n v="1"/>
    <m/>
    <n v="0"/>
    <n v="0"/>
    <n v="0"/>
    <n v="45"/>
    <n v="45"/>
    <n v="45"/>
    <s v=" "/>
    <s v="826fa2c2-c691-4844-83d3-aea0e8a54bcd"/>
    <n v="2000"/>
    <n v="45"/>
    <n v="0"/>
    <n v="1"/>
    <n v="0"/>
    <n v="69.331363856127908"/>
    <n v="69.331363856127908"/>
    <n v="69.331363856127908"/>
    <n v="149.99494718860157"/>
    <n v="149.99494718860157"/>
    <n v="149.99494718860157"/>
    <n v="15.979782071278215"/>
    <n v="15.979782071278215"/>
    <n v="15.979782071278215"/>
    <n v="174.72490337954429"/>
    <n v="174.72490337954429"/>
    <n v="174.72490337954429"/>
    <m/>
    <m/>
    <m/>
    <n v="1.6344059088558105"/>
    <n v="1.6344059088558105"/>
    <n v="1.6344059088558105"/>
    <n v="4.7439787796393082E-3"/>
    <n v="4.7439787796393082E-3"/>
    <n v="4.7439787796393082E-3"/>
    <m/>
    <m/>
    <m/>
    <m/>
    <m/>
    <m/>
    <m/>
    <x v="0"/>
    <m/>
    <m/>
  </r>
  <r>
    <x v="1"/>
    <s v="Stampflehmwand"/>
    <n v="9"/>
    <s v="-"/>
    <x v="11"/>
    <s v="Stampflehmwand"/>
    <s v="Holzfaserplatte"/>
    <s v="ja"/>
    <n v="100"/>
    <n v="60"/>
    <n v="180"/>
    <n v="1"/>
    <m/>
    <n v="0.1"/>
    <n v="0.06"/>
    <n v="0.18"/>
    <n v="15.08"/>
    <n v="9.0500000000000007"/>
    <n v="27.14"/>
    <m/>
    <s v="51a420d8-6366-4e14-83db-ecfe0721774d"/>
    <n v="150.76"/>
    <n v="0"/>
    <n v="0"/>
    <n v="3.2000000000000001E-2"/>
    <n v="3125"/>
    <n v="23.512651467235422"/>
    <n v="14.107590880341251"/>
    <n v="42.322772641023754"/>
    <n v="28.26607488877908"/>
    <n v="16.959644933267445"/>
    <n v="50.878934799802337"/>
    <n v="14.146175022578422"/>
    <n v="8.4877050135470515"/>
    <n v="25.463115040641156"/>
    <n v="240.70321784345492"/>
    <n v="144.42193070607291"/>
    <n v="433.26579211821883"/>
    <m/>
    <m/>
    <m/>
    <n v="9.6608119269027188"/>
    <n v="5.7964871561416302"/>
    <n v="17.389461468424891"/>
    <n v="4.5032187495099626E-3"/>
    <n v="2.7019312497059767E-3"/>
    <n v="8.1057937491179309E-3"/>
    <m/>
    <m/>
    <m/>
    <m/>
    <m/>
    <m/>
    <m/>
    <x v="0"/>
    <m/>
    <m/>
  </r>
  <r>
    <x v="1"/>
    <s v="Stampflehmwand"/>
    <n v="9"/>
    <s v="-"/>
    <x v="11"/>
    <s v="Stampflehmwand"/>
    <s v="Lehmputz"/>
    <s v="nein"/>
    <n v="25"/>
    <n v="10"/>
    <n v="130"/>
    <n v="1"/>
    <m/>
    <n v="0.02"/>
    <n v="0.01"/>
    <n v="0.13"/>
    <n v="0.03"/>
    <n v="0.03"/>
    <n v="0.03"/>
    <n v="150.76"/>
    <s v="8be785fa-5548-4ea5-a2d7-b962675b9eff"/>
    <n v="0"/>
    <n v="3.2000000000000001E-2"/>
    <n v="1562.5"/>
    <n v="0.66"/>
    <n v="37.878787878787875"/>
    <n v="2.6871042504857633E-2"/>
    <n v="2.6871042504857633E-2"/>
    <n v="2.6871042504857633E-2"/>
    <n v="3.7573702472240962E-2"/>
    <n v="3.7573702472240962E-2"/>
    <n v="3.7573702472240962E-2"/>
    <n v="1.479291155377949E-3"/>
    <n v="1.479291155377949E-3"/>
    <n v="1.479291155377949E-3"/>
    <n v="2.2008910053531519E-2"/>
    <n v="2.2008910053531519E-2"/>
    <n v="2.2008910053531519E-2"/>
    <m/>
    <m/>
    <m/>
    <n v="6.3020351380158404E-4"/>
    <n v="6.3020351380158404E-4"/>
    <n v="6.3020351380158404E-4"/>
    <n v="1.0835384720992508E-6"/>
    <n v="1.0835384720992508E-6"/>
    <n v="1.0835384720992508E-6"/>
    <m/>
    <m/>
    <m/>
    <m/>
    <m/>
    <m/>
    <m/>
    <x v="0"/>
    <m/>
    <m/>
  </r>
  <r>
    <x v="1"/>
    <s v="Außenwand Beton"/>
    <n v="1"/>
    <s v="konv. Beton"/>
    <x v="17"/>
    <m/>
    <s v="Beton C20/25"/>
    <m/>
    <n v="300"/>
    <n v="300"/>
    <n v="300"/>
    <n v="1"/>
    <m/>
    <n v="0.3"/>
    <n v="0.3"/>
    <n v="0.3"/>
    <n v="708"/>
    <n v="708"/>
    <n v="708"/>
    <s v=" "/>
    <s v="9702d9ab-2af2-4fdc-9d99-225583a9ffb7"/>
    <n v="2360"/>
    <n v="0"/>
    <n v="0"/>
    <n v="1.4"/>
    <n v="214.28571428571431"/>
    <n v="706.64824578292257"/>
    <n v="706.64824578292257"/>
    <n v="706.64824578292257"/>
    <n v="732.70344456844998"/>
    <n v="732.70344456844998"/>
    <n v="732.70344456844998"/>
    <n v="59.815442392480868"/>
    <n v="59.815442392480868"/>
    <n v="59.815442392480868"/>
    <n v="468.59961036562692"/>
    <n v="468.59961036562692"/>
    <n v="468.59961036562692"/>
    <m/>
    <m/>
    <m/>
    <n v="29.645899439046772"/>
    <n v="29.645899439046772"/>
    <n v="29.645899439046772"/>
    <n v="3.0766275292103063E-2"/>
    <n v="3.0766275292103063E-2"/>
    <n v="3.0766275292103063E-2"/>
    <s v="Achtung, id wird bereits verwendet"/>
    <s v="nein"/>
    <m/>
    <m/>
    <m/>
    <m/>
    <m/>
    <x v="0"/>
    <m/>
    <m/>
  </r>
  <r>
    <x v="1"/>
    <s v="Außenwand Beton"/>
    <n v="1"/>
    <s v="konv. Beton"/>
    <x v="17"/>
    <m/>
    <s v="Mineralwolle"/>
    <m/>
    <n v="100"/>
    <n v="60"/>
    <n v="180"/>
    <n v="1"/>
    <m/>
    <n v="0.1"/>
    <n v="0.06"/>
    <n v="0.18"/>
    <n v="4.62"/>
    <n v="2.78"/>
    <n v="8.32"/>
    <s v=" "/>
    <s v="f8afef87-5de3-4996-838c-1f2af9ef81df"/>
    <n v="46.25"/>
    <n v="0"/>
    <n v="0"/>
    <n v="4.2000000000000003E-2"/>
    <n v="2380.9523809523807"/>
    <n v="8.9126533214270101"/>
    <n v="5.3475919928562057"/>
    <n v="16.042775978568617"/>
    <n v="10.816018591847159"/>
    <n v="6.4896111551082951"/>
    <n v="19.468833465324884"/>
    <n v="4.5779675938252673"/>
    <n v="2.7467805562951599"/>
    <n v="8.2403416688854794"/>
    <n v="98.394467641187106"/>
    <n v="59.036680584712258"/>
    <n v="177.11004175413677"/>
    <m/>
    <m/>
    <m/>
    <n v="5.012082005968213"/>
    <n v="3.007249203580928"/>
    <n v="9.0217476107427839"/>
    <n v="1.8062242068618824E-3"/>
    <n v="1.0837345241171293E-3"/>
    <n v="3.2512035723513879E-3"/>
    <s v="Achtung, id wird bereits verwendet"/>
    <s v="ja"/>
    <m/>
    <m/>
    <m/>
    <m/>
    <m/>
    <x v="0"/>
    <m/>
    <m/>
  </r>
  <r>
    <x v="1"/>
    <s v="Außenwand Beton"/>
    <n v="1"/>
    <s v="konv. Beton"/>
    <x v="17"/>
    <m/>
    <s v="Bewehrungsstahl"/>
    <m/>
    <m/>
    <n v="0"/>
    <n v="0"/>
    <n v="1"/>
    <m/>
    <n v="0"/>
    <n v="0"/>
    <n v="0"/>
    <n v="30"/>
    <n v="30"/>
    <n v="30"/>
    <s v=" "/>
    <s v="e9ae96ee-ba8d-420d-9725-7c8abd06e082"/>
    <n v="7850"/>
    <n v="30"/>
    <n v="0"/>
    <n v="50"/>
    <n v="0"/>
    <n v="156.9172507207326"/>
    <n v="156.9172507207326"/>
    <n v="156.9172507207326"/>
    <n v="247.65458355884402"/>
    <n v="247.65458355884402"/>
    <n v="247.65458355884402"/>
    <n v="65.011005572263201"/>
    <n v="65.011005572263201"/>
    <n v="65.011005572263201"/>
    <n v="916.78439140811997"/>
    <n v="916.78439140811997"/>
    <n v="916.78439140811997"/>
    <m/>
    <m/>
    <m/>
    <n v="27.420244131722967"/>
    <n v="27.420244131722967"/>
    <n v="27.420244131722967"/>
    <n v="1.9179550258186965E-2"/>
    <n v="1.9179550258186965E-2"/>
    <n v="1.9179550258186965E-2"/>
    <s v="Achtung, id wird bereits verwendet"/>
    <s v="nein"/>
    <m/>
    <m/>
    <n v="30"/>
    <m/>
    <m/>
    <x v="0"/>
    <m/>
    <m/>
  </r>
  <r>
    <x v="1"/>
    <s v="Außenwand Beton"/>
    <n v="2"/>
    <s v="R-Beton"/>
    <x v="18"/>
    <m/>
    <s v="R-Beton C20/25 mit 25% rezyklierter Gesteinskörnung"/>
    <m/>
    <n v="300"/>
    <n v="300"/>
    <n v="300"/>
    <n v="1"/>
    <m/>
    <n v="0.3"/>
    <n v="0.3"/>
    <n v="0.3"/>
    <n v="720"/>
    <n v="720"/>
    <n v="720"/>
    <s v=" "/>
    <s v="ded82f5b-0581-4d04-ad83-f9cebaa9a04b"/>
    <n v="2400"/>
    <n v="0"/>
    <n v="0"/>
    <n v="1.4"/>
    <n v="214.28571428571431"/>
    <n v="545.15049187433442"/>
    <n v="545.15049187433442"/>
    <n v="545.15049187433442"/>
    <n v="591.41349759573052"/>
    <n v="591.41349759573052"/>
    <n v="591.41349759573052"/>
    <n v="60.829263449980544"/>
    <n v="60.829263449980544"/>
    <n v="60.829263449980544"/>
    <n v="404.7989216955844"/>
    <n v="404.7989216955844"/>
    <n v="404.7989216955844"/>
    <m/>
    <m/>
    <m/>
    <n v="30.926048843169628"/>
    <n v="30.926048843169628"/>
    <n v="30.926048843169628"/>
    <n v="2.6091738479764114E-2"/>
    <n v="2.6091738479764114E-2"/>
    <n v="2.6091738479764114E-2"/>
    <s v="Achtung, id wird bereits verwendet"/>
    <s v="nein"/>
    <m/>
    <m/>
    <m/>
    <m/>
    <m/>
    <x v="0"/>
    <m/>
    <m/>
  </r>
  <r>
    <x v="1"/>
    <s v="Außenwand Beton"/>
    <n v="2"/>
    <s v="R-Beton"/>
    <x v="18"/>
    <m/>
    <s v="Mineralwolle"/>
    <m/>
    <n v="100"/>
    <n v="60"/>
    <n v="180"/>
    <n v="1"/>
    <m/>
    <n v="0.1"/>
    <n v="0.06"/>
    <n v="0.18"/>
    <n v="4.62"/>
    <n v="2.78"/>
    <n v="8.32"/>
    <s v=" "/>
    <s v="f8afef87-5de3-4996-838c-1f2af9ef81df"/>
    <n v="46.25"/>
    <n v="0"/>
    <n v="0"/>
    <n v="4.2000000000000003E-2"/>
    <n v="2380.9523809523807"/>
    <n v="8.9126533214270101"/>
    <n v="5.3475919928562057"/>
    <n v="16.042775978568617"/>
    <n v="10.816018591847159"/>
    <n v="6.4896111551082951"/>
    <n v="19.468833465324884"/>
    <n v="4.5779675938252673"/>
    <n v="2.7467805562951599"/>
    <n v="8.2403416688854794"/>
    <n v="98.394467641187106"/>
    <n v="59.036680584712258"/>
    <n v="177.11004175413677"/>
    <m/>
    <m/>
    <m/>
    <n v="5.012082005968213"/>
    <n v="3.007249203580928"/>
    <n v="9.0217476107427839"/>
    <n v="1.8062242068618824E-3"/>
    <n v="1.0837345241171293E-3"/>
    <n v="3.2512035723513879E-3"/>
    <s v="Achtung, id wird bereits verwendet"/>
    <s v="ja"/>
    <m/>
    <m/>
    <m/>
    <m/>
    <m/>
    <x v="0"/>
    <m/>
    <m/>
  </r>
  <r>
    <x v="1"/>
    <s v="Außenwand Beton"/>
    <n v="2"/>
    <s v="R-Beton"/>
    <x v="18"/>
    <m/>
    <s v="Bewehrungsstahl"/>
    <m/>
    <m/>
    <n v="0"/>
    <n v="0"/>
    <n v="1"/>
    <m/>
    <n v="0"/>
    <n v="0"/>
    <n v="0"/>
    <n v="30"/>
    <n v="30"/>
    <n v="30"/>
    <s v=" "/>
    <s v="e9ae96ee-ba8d-420d-9725-7c8abd06e082"/>
    <n v="7850"/>
    <n v="30"/>
    <n v="0"/>
    <n v="50"/>
    <n v="0"/>
    <n v="156.9172507207326"/>
    <n v="156.9172507207326"/>
    <n v="156.9172507207326"/>
    <n v="247.65458355884402"/>
    <n v="247.65458355884402"/>
    <n v="247.65458355884402"/>
    <n v="65.011005572263201"/>
    <n v="65.011005572263201"/>
    <n v="65.011005572263201"/>
    <n v="916.78439140811997"/>
    <n v="916.78439140811997"/>
    <n v="916.78439140811997"/>
    <m/>
    <m/>
    <m/>
    <n v="27.420244131722967"/>
    <n v="27.420244131722967"/>
    <n v="27.420244131722967"/>
    <n v="1.9179550258186965E-2"/>
    <n v="1.9179550258186965E-2"/>
    <n v="1.9179550258186965E-2"/>
    <s v="Achtung, id wird bereits verwendet"/>
    <s v="nein"/>
    <m/>
    <m/>
    <n v="30"/>
    <m/>
    <m/>
    <x v="0"/>
    <m/>
    <m/>
  </r>
  <r>
    <x v="4"/>
    <s v="Heizung"/>
    <n v="1"/>
    <s v="Neu"/>
    <x v="19"/>
    <m/>
    <s v="Heizkörper, 60 cm Höhe"/>
    <m/>
    <m/>
    <n v="0"/>
    <n v="0"/>
    <n v="1"/>
    <m/>
    <n v="0"/>
    <n v="0"/>
    <n v="0"/>
    <n v="37.5"/>
    <n v="37.5"/>
    <n v="37.5"/>
    <s v=" "/>
    <s v="4005b170-75e3-411e-9896-74c61ecccd2a"/>
    <n v="0"/>
    <n v="0"/>
    <n v="37.5"/>
    <n v="0"/>
    <m/>
    <n v="337.16441522880586"/>
    <n v="337.16441522880586"/>
    <n v="337.16441522880586"/>
    <n v="0"/>
    <n v="0"/>
    <n v="0"/>
    <n v="147.92889814445365"/>
    <n v="147.92889814445365"/>
    <n v="147.92889814445365"/>
    <n v="2268.8821976397385"/>
    <n v="2268.8821976397385"/>
    <n v="2268.8821976397385"/>
    <m/>
    <m/>
    <m/>
    <n v="86.198059095900007"/>
    <n v="86.198059095900007"/>
    <n v="86.198059095900007"/>
    <n v="4.6508343456039054E-2"/>
    <n v="4.6508343456039054E-2"/>
    <n v="4.6508343456039054E-2"/>
    <s v="Achtung, id wird bereits verwendet"/>
    <s v="nein"/>
    <n v="1"/>
    <m/>
    <m/>
    <m/>
    <m/>
    <x v="0"/>
    <m/>
    <m/>
  </r>
  <r>
    <x v="4"/>
    <s v="Heizung"/>
    <n v="2"/>
    <s v="ReUse"/>
    <x v="20"/>
    <m/>
    <s v="Heizkörper, 60 cm Höhe wiederverwendet"/>
    <m/>
    <m/>
    <n v="0"/>
    <n v="0"/>
    <n v="1"/>
    <m/>
    <n v="0"/>
    <n v="0"/>
    <n v="0"/>
    <n v="37.5"/>
    <n v="37.5"/>
    <n v="37.5"/>
    <s v=" "/>
    <s v="4005b170-75e3-411e-9896-74c61ecrcd2a"/>
    <n v="0"/>
    <n v="0"/>
    <n v="37.5"/>
    <n v="0"/>
    <m/>
    <n v="0"/>
    <n v="0"/>
    <n v="0"/>
    <n v="0"/>
    <n v="0"/>
    <n v="0"/>
    <n v="0"/>
    <n v="0"/>
    <n v="0"/>
    <n v="0"/>
    <n v="0"/>
    <n v="0"/>
    <m/>
    <m/>
    <m/>
    <n v="0"/>
    <n v="0"/>
    <n v="0"/>
    <n v="0"/>
    <n v="0"/>
    <n v="0"/>
    <s v="Achtung, id wird bereits verwendet"/>
    <s v="nein"/>
    <n v="1"/>
    <m/>
    <m/>
    <m/>
    <m/>
    <x v="0"/>
    <m/>
    <m/>
  </r>
  <r>
    <x v="5"/>
    <s v="Innenwand"/>
    <n v="1"/>
    <s v="Trockenbau"/>
    <x v="21"/>
    <s v="Verkleidung"/>
    <s v="Gipskartonplatte (12,5 mm)"/>
    <m/>
    <n v="125"/>
    <n v="125"/>
    <n v="125"/>
    <n v="1"/>
    <m/>
    <n v="0.12"/>
    <n v="0.12"/>
    <n v="0.12"/>
    <n v="100"/>
    <n v="100"/>
    <n v="100"/>
    <s v=" "/>
    <s v="07423e99-8c7c-4e93-8311-dcf7ae85c41d"/>
    <n v="800"/>
    <n v="10"/>
    <n v="0"/>
    <n v="0.2"/>
    <n v="625"/>
    <n v="96.885190926662105"/>
    <n v="96.885190926662105"/>
    <n v="96.885190926662105"/>
    <n v="105.04992021872901"/>
    <n v="105.04992021872901"/>
    <n v="105.04992021872901"/>
    <n v="25.140556386449695"/>
    <n v="25.140556386449695"/>
    <n v="25.140556386449695"/>
    <n v="385.609909169177"/>
    <n v="385.609909169177"/>
    <n v="385.609909169177"/>
    <m/>
    <m/>
    <m/>
    <n v="12.506783392176498"/>
    <n v="12.506783392176498"/>
    <n v="12.506783392176498"/>
    <n v="8.799079409860926E-3"/>
    <n v="8.799079409860926E-3"/>
    <n v="8.799079409860926E-3"/>
    <s v="Achtung, id wird bereits verwendet"/>
    <s v="nein"/>
    <m/>
    <m/>
    <m/>
    <m/>
    <m/>
    <x v="0"/>
    <m/>
    <m/>
  </r>
  <r>
    <x v="5"/>
    <s v="Innenwand"/>
    <n v="1"/>
    <s v="Trockenbau"/>
    <x v="21"/>
    <s v="Dämmung"/>
    <s v="Mineralwolle"/>
    <m/>
    <n v="100"/>
    <n v="60"/>
    <n v="180"/>
    <n v="1"/>
    <m/>
    <n v="0.1"/>
    <n v="0.06"/>
    <n v="0.18"/>
    <n v="4.62"/>
    <n v="2.78"/>
    <n v="8.32"/>
    <s v=" "/>
    <s v="f8afef87-5de3-4996-838c-1f2af9ef81df"/>
    <n v="46.25"/>
    <n v="0"/>
    <n v="0"/>
    <n v="4.2000000000000003E-2"/>
    <n v="2380.9523809523807"/>
    <n v="8.9126533214270101"/>
    <n v="5.3475919928562057"/>
    <n v="16.042775978568617"/>
    <n v="10.816018591847159"/>
    <n v="6.4896111551082951"/>
    <n v="19.468833465324884"/>
    <n v="4.5779675938252673"/>
    <n v="2.7467805562951599"/>
    <n v="8.2403416688854794"/>
    <n v="98.394467641187106"/>
    <n v="59.036680584712258"/>
    <n v="177.11004175413677"/>
    <m/>
    <m/>
    <m/>
    <n v="5.012082005968213"/>
    <n v="3.007249203580928"/>
    <n v="9.0217476107427839"/>
    <n v="1.8062242068618824E-3"/>
    <n v="1.0837345241171293E-3"/>
    <n v="3.2512035723513879E-3"/>
    <s v="Achtung, id wird bereits verwendet"/>
    <s v="ja"/>
    <m/>
    <m/>
    <m/>
    <m/>
    <m/>
    <x v="0"/>
    <m/>
    <m/>
  </r>
  <r>
    <x v="5"/>
    <s v="Innenwand"/>
    <n v="1"/>
    <s v="Trockenbau"/>
    <x v="21"/>
    <s v="Ständerwerk"/>
    <s v="Konstruktionsvollholz"/>
    <m/>
    <n v="75"/>
    <n v="75"/>
    <n v="75"/>
    <n v="0.1"/>
    <m/>
    <n v="0.01"/>
    <n v="0.01"/>
    <n v="0.01"/>
    <n v="3.7"/>
    <n v="3.7"/>
    <n v="3.7"/>
    <s v=" "/>
    <s v="1a70d292-a82c-42a6-a378-d3cbd9a9af4e"/>
    <n v="492.92"/>
    <n v="0"/>
    <n v="0"/>
    <n v="0.1"/>
    <n v="750"/>
    <n v="7.4758897619682054"/>
    <n v="7.4758897619682054"/>
    <n v="7.4758897619682054"/>
    <n v="8.6541393404284683"/>
    <n v="8.6541393404284683"/>
    <n v="8.6541393404284683"/>
    <n v="0.77844287769639631"/>
    <n v="0.77844287769639631"/>
    <n v="0.77844287769639631"/>
    <n v="14.09568583208176"/>
    <n v="14.09568583208176"/>
    <n v="14.09568583208176"/>
    <m/>
    <m/>
    <m/>
    <n v="0.314000677512909"/>
    <n v="0.314000677512909"/>
    <n v="0.314000677512909"/>
    <n v="4.039857072977271E-4"/>
    <n v="4.039857072977271E-4"/>
    <n v="4.039857072977271E-4"/>
    <s v="Achtung, id wird bereits verwendet"/>
    <s v="nein"/>
    <m/>
    <m/>
    <m/>
    <m/>
    <m/>
    <x v="0"/>
    <m/>
    <m/>
  </r>
  <r>
    <x v="0"/>
    <s v="Stahlbeton (R-Beton) - Bodenplatte"/>
    <m/>
    <s v="Referenz XPS"/>
    <x v="0"/>
    <s v="Sauberkeitsschicht"/>
    <s v="Beton C20/25"/>
    <m/>
    <m/>
    <m/>
    <m/>
    <m/>
    <m/>
    <m/>
    <m/>
    <m/>
    <m/>
    <m/>
    <m/>
    <m/>
    <m/>
    <m/>
    <m/>
    <m/>
    <m/>
    <m/>
    <n v="1.0294808580687997"/>
    <n v="1.0294808580687997"/>
    <n v="1.0294808580687997"/>
    <n v="1.2269835695874511"/>
    <n v="1.2269835695874511"/>
    <n v="1.2269835695874511"/>
    <n v="1.1421342603838736"/>
    <n v="1.1421342603838736"/>
    <n v="1.1421342603838736"/>
    <n v="7.1260489571999992"/>
    <n v="7.1260489571999992"/>
    <n v="7.1260489571999992"/>
    <m/>
    <m/>
    <m/>
    <n v="7.7498724860567261E-2"/>
    <n v="7.7498724860567261E-2"/>
    <n v="7.7498724860567261E-2"/>
    <n v="1.897576548113335E-4"/>
    <n v="1.897576548113335E-4"/>
    <n v="1.897576548113335E-4"/>
    <m/>
    <m/>
    <m/>
    <m/>
    <m/>
    <m/>
    <m/>
    <x v="1"/>
    <n v="50"/>
    <s v="LKW"/>
  </r>
  <r>
    <x v="0"/>
    <s v="Stahlbeton-Bodenplatte"/>
    <m/>
    <s v="Referenz XPS"/>
    <x v="1"/>
    <s v="Sauberkeitsschicht"/>
    <s v="Beton C20/25"/>
    <m/>
    <m/>
    <m/>
    <m/>
    <m/>
    <m/>
    <m/>
    <m/>
    <m/>
    <m/>
    <m/>
    <m/>
    <m/>
    <m/>
    <m/>
    <m/>
    <m/>
    <m/>
    <m/>
    <n v="1.0294808580687997"/>
    <n v="1.0294808580687997"/>
    <n v="1.0294808580687997"/>
    <n v="1.2269835695874511"/>
    <n v="1.2269835695874511"/>
    <n v="1.2269835695874511"/>
    <n v="1.1421342603838736"/>
    <n v="1.1421342603838736"/>
    <n v="1.1421342603838736"/>
    <n v="7.1260489571999992"/>
    <n v="7.1260489571999992"/>
    <n v="7.1260489571999992"/>
    <m/>
    <m/>
    <m/>
    <n v="7.7498724860567261E-2"/>
    <n v="7.7498724860567261E-2"/>
    <n v="7.7498724860567261E-2"/>
    <n v="1.897576548113335E-4"/>
    <n v="1.897576548113335E-4"/>
    <n v="1.897576548113335E-4"/>
    <m/>
    <m/>
    <m/>
    <m/>
    <m/>
    <m/>
    <m/>
    <x v="1"/>
    <n v="50"/>
    <s v="LKW"/>
  </r>
  <r>
    <x v="0"/>
    <s v="Stahlbeton-Bodenplatte"/>
    <m/>
    <s v="Referenz XPS"/>
    <x v="1"/>
    <s v="Beton, C20/25"/>
    <s v="Beton C20/25"/>
    <m/>
    <m/>
    <m/>
    <m/>
    <m/>
    <m/>
    <m/>
    <m/>
    <m/>
    <m/>
    <m/>
    <m/>
    <m/>
    <m/>
    <m/>
    <m/>
    <m/>
    <m/>
    <m/>
    <n v="8.2358468645503979"/>
    <n v="8.2358468645503979"/>
    <n v="8.2358468645503979"/>
    <n v="9.8158685566996091"/>
    <n v="9.8158685566996091"/>
    <n v="9.8158685566996091"/>
    <n v="9.1370740830709885"/>
    <n v="9.1370740830709885"/>
    <n v="9.1370740830709885"/>
    <n v="57.008391657599994"/>
    <n v="57.008391657599994"/>
    <n v="57.008391657599994"/>
    <m/>
    <m/>
    <m/>
    <n v="0.61998979888453809"/>
    <n v="0.61998979888453809"/>
    <n v="0.61998979888453809"/>
    <n v="1.518061238490668E-3"/>
    <n v="1.518061238490668E-3"/>
    <n v="1.518061238490668E-3"/>
    <m/>
    <m/>
    <m/>
    <m/>
    <m/>
    <m/>
    <m/>
    <x v="1"/>
    <n v="50"/>
    <s v="LKW"/>
  </r>
  <r>
    <x v="1"/>
    <s v="Mauerwerk, einschalig - Kalksandstein (KS) mit Dämmung"/>
    <m/>
    <s v="Referenz EPS"/>
    <x v="2"/>
    <s v="Putz"/>
    <s v="Kalkputz"/>
    <m/>
    <m/>
    <m/>
    <m/>
    <m/>
    <m/>
    <m/>
    <m/>
    <m/>
    <m/>
    <m/>
    <m/>
    <m/>
    <m/>
    <m/>
    <m/>
    <m/>
    <m/>
    <m/>
    <n v="0.13740952131003048"/>
    <n v="0.13740952131003048"/>
    <n v="0.13740952131003048"/>
    <n v="0.16377111204239284"/>
    <n v="0.16377111204239284"/>
    <n v="0.16377111204239284"/>
    <n v="0.15244588644954243"/>
    <n v="0.15244588644954243"/>
    <n v="0.15244588644954243"/>
    <n v="0.95114636504999994"/>
    <n v="0.95114636504999994"/>
    <n v="0.95114636504999994"/>
    <m/>
    <m/>
    <m/>
    <n v="1.0344109462321477E-2"/>
    <n v="1.0344109462321477E-2"/>
    <n v="1.0344109462321477E-2"/>
    <n v="2.5327822570156801E-5"/>
    <n v="2.5327822570156801E-5"/>
    <n v="2.5327822570156801E-5"/>
    <m/>
    <m/>
    <m/>
    <m/>
    <m/>
    <m/>
    <m/>
    <x v="1"/>
    <n v="50"/>
    <s v="LKW"/>
  </r>
  <r>
    <x v="1"/>
    <s v="Mauerwerk, einschalig - Hochlochziegel (HLZ)"/>
    <m/>
    <s v="Referenz MiWo"/>
    <x v="3"/>
    <s v="Putz"/>
    <s v="Kalkputz"/>
    <m/>
    <m/>
    <m/>
    <m/>
    <m/>
    <m/>
    <m/>
    <m/>
    <m/>
    <m/>
    <m/>
    <m/>
    <m/>
    <m/>
    <m/>
    <m/>
    <m/>
    <m/>
    <m/>
    <n v="0.13740952131003048"/>
    <n v="0.13740952131003048"/>
    <n v="0.13740952131003048"/>
    <n v="0.16377111204239284"/>
    <n v="0.16377111204239284"/>
    <n v="0.16377111204239284"/>
    <n v="0.15244588644954243"/>
    <n v="0.15244588644954243"/>
    <n v="0.15244588644954243"/>
    <n v="0.95114636504999994"/>
    <n v="0.95114636504999994"/>
    <n v="0.95114636504999994"/>
    <m/>
    <m/>
    <m/>
    <n v="1.0344109462321477E-2"/>
    <n v="1.0344109462321477E-2"/>
    <n v="1.0344109462321477E-2"/>
    <n v="2.5327822570156801E-5"/>
    <n v="2.5327822570156801E-5"/>
    <n v="2.5327822570156801E-5"/>
    <m/>
    <m/>
    <m/>
    <m/>
    <m/>
    <m/>
    <m/>
    <x v="1"/>
    <n v="50"/>
    <s v="LKW"/>
  </r>
  <r>
    <x v="1"/>
    <s v="Mauerwerk, einschalig - Kalksandstein (KS) mit Dämmung"/>
    <m/>
    <s v="Hanf"/>
    <x v="4"/>
    <s v="Putz"/>
    <s v="Kalkputz"/>
    <m/>
    <m/>
    <m/>
    <m/>
    <m/>
    <m/>
    <m/>
    <m/>
    <m/>
    <m/>
    <m/>
    <m/>
    <m/>
    <m/>
    <m/>
    <m/>
    <m/>
    <m/>
    <m/>
    <n v="0.13740952131003048"/>
    <n v="0.13740952131003048"/>
    <n v="0.13740952131003048"/>
    <n v="0.16377111204239284"/>
    <n v="0.16377111204239284"/>
    <n v="0.16377111204239284"/>
    <n v="0.15244588644954243"/>
    <n v="0.15244588644954243"/>
    <n v="0.15244588644954243"/>
    <n v="0.95114636504999994"/>
    <n v="0.95114636504999994"/>
    <n v="0.95114636504999994"/>
    <m/>
    <m/>
    <m/>
    <n v="1.0344109462321477E-2"/>
    <n v="1.0344109462321477E-2"/>
    <n v="1.0344109462321477E-2"/>
    <n v="2.5327822570156801E-5"/>
    <n v="2.5327822570156801E-5"/>
    <n v="2.5327822570156801E-5"/>
    <m/>
    <m/>
    <m/>
    <m/>
    <m/>
    <m/>
    <m/>
    <x v="1"/>
    <n v="50"/>
    <s v="LKW"/>
  </r>
  <r>
    <x v="1"/>
    <s v="Mauerwerk, einschalig - Kalksandstein (KS) mit Dämmung"/>
    <m/>
    <s v="Zellulose"/>
    <x v="5"/>
    <s v="Putz"/>
    <s v="Kalkputz"/>
    <m/>
    <m/>
    <m/>
    <m/>
    <m/>
    <m/>
    <m/>
    <m/>
    <m/>
    <m/>
    <m/>
    <m/>
    <m/>
    <m/>
    <m/>
    <m/>
    <m/>
    <m/>
    <m/>
    <n v="0.13740952131003048"/>
    <n v="0.13740952131003048"/>
    <n v="0.13740952131003048"/>
    <n v="0.16377111204239284"/>
    <n v="0.16377111204239284"/>
    <n v="0.16377111204239284"/>
    <n v="0.15244588644954243"/>
    <n v="0.15244588644954243"/>
    <n v="0.15244588644954243"/>
    <n v="0.95114636504999994"/>
    <n v="0.95114636504999994"/>
    <n v="0.95114636504999994"/>
    <m/>
    <m/>
    <m/>
    <n v="1.0344109462321477E-2"/>
    <n v="1.0344109462321477E-2"/>
    <n v="1.0344109462321477E-2"/>
    <n v="2.5327822570156801E-5"/>
    <n v="2.5327822570156801E-5"/>
    <n v="2.5327822570156801E-5"/>
    <m/>
    <m/>
    <m/>
    <m/>
    <m/>
    <m/>
    <m/>
    <x v="1"/>
    <n v="50"/>
    <s v="LKW"/>
  </r>
  <r>
    <x v="1"/>
    <s v="Mauerwerk, einschalig - Mauerziegel (gefüllt)"/>
    <m/>
    <s v="Referenz"/>
    <x v="6"/>
    <s v="Putz"/>
    <s v="Kalkputz"/>
    <m/>
    <m/>
    <m/>
    <m/>
    <m/>
    <m/>
    <m/>
    <m/>
    <m/>
    <m/>
    <m/>
    <m/>
    <m/>
    <m/>
    <m/>
    <m/>
    <m/>
    <m/>
    <m/>
    <n v="0.13740952131003048"/>
    <n v="0.13740952131003048"/>
    <n v="0.13740952131003048"/>
    <n v="0.16377111204239284"/>
    <n v="0.16377111204239284"/>
    <n v="0.16377111204239284"/>
    <n v="0.15244588644954243"/>
    <n v="0.15244588644954243"/>
    <n v="0.15244588644954243"/>
    <n v="0.95114636504999994"/>
    <n v="0.95114636504999994"/>
    <n v="0.95114636504999994"/>
    <m/>
    <m/>
    <m/>
    <n v="1.0344109462321477E-2"/>
    <n v="1.0344109462321477E-2"/>
    <n v="1.0344109462321477E-2"/>
    <n v="2.5327822570156801E-5"/>
    <n v="2.5327822570156801E-5"/>
    <n v="2.5327822570156801E-5"/>
    <m/>
    <m/>
    <m/>
    <m/>
    <m/>
    <m/>
    <m/>
    <x v="1"/>
    <n v="50"/>
    <s v="LKW"/>
  </r>
  <r>
    <x v="1"/>
    <s v="Mauerwerk, zweischalig - Vollziegel (VZ)"/>
    <m/>
    <s v="Referenz MiWo"/>
    <x v="7"/>
    <s v="Putz"/>
    <s v="Kalkputz"/>
    <m/>
    <m/>
    <m/>
    <m/>
    <m/>
    <m/>
    <m/>
    <m/>
    <m/>
    <m/>
    <m/>
    <m/>
    <m/>
    <m/>
    <m/>
    <m/>
    <m/>
    <m/>
    <m/>
    <n v="0.13740952131003048"/>
    <n v="0.13740952131003048"/>
    <n v="0.13740952131003048"/>
    <n v="0.16377111204239284"/>
    <n v="0.16377111204239284"/>
    <n v="0.16377111204239284"/>
    <n v="0.15244588644954243"/>
    <n v="0.15244588644954243"/>
    <n v="0.15244588644954243"/>
    <n v="0.95114636504999994"/>
    <n v="0.95114636504999994"/>
    <n v="0.95114636504999994"/>
    <m/>
    <m/>
    <m/>
    <n v="1.0344109462321477E-2"/>
    <n v="1.0344109462321477E-2"/>
    <n v="1.0344109462321477E-2"/>
    <n v="2.5327822570156801E-5"/>
    <n v="2.5327822570156801E-5"/>
    <n v="2.5327822570156801E-5"/>
    <m/>
    <m/>
    <m/>
    <m/>
    <m/>
    <m/>
    <m/>
    <x v="1"/>
    <n v="50"/>
    <s v="LKW"/>
  </r>
  <r>
    <x v="0"/>
    <s v="Stahlbeton (R-Beton) - Bodenplatte"/>
    <m/>
    <s v="Referenz XPS"/>
    <x v="0"/>
    <s v="Trennlage"/>
    <s v="PE Folie"/>
    <m/>
    <m/>
    <m/>
    <m/>
    <m/>
    <m/>
    <m/>
    <m/>
    <m/>
    <m/>
    <m/>
    <m/>
    <m/>
    <m/>
    <m/>
    <m/>
    <m/>
    <m/>
    <m/>
    <n v="2.4428359344005422E-3"/>
    <n v="2.4428359344005422E-3"/>
    <n v="2.4428359344005422E-3"/>
    <n v="2.9114864363092062E-3"/>
    <n v="2.9114864363092062E-3"/>
    <n v="2.9114864363092062E-3"/>
    <n v="2.7101490924363101E-3"/>
    <n v="2.7101490924363101E-3"/>
    <n v="2.7101490924363101E-3"/>
    <n v="1.6909268711999999E-2"/>
    <n v="1.6909268711999999E-2"/>
    <n v="1.6909268711999999E-2"/>
    <m/>
    <m/>
    <m/>
    <n v="1.8389527933015962E-4"/>
    <n v="1.8389527933015962E-4"/>
    <n v="1.8389527933015962E-4"/>
    <n v="4.5027240124723203E-7"/>
    <n v="4.5027240124723203E-7"/>
    <n v="4.5027240124723203E-7"/>
    <m/>
    <m/>
    <m/>
    <m/>
    <m/>
    <m/>
    <m/>
    <x v="1"/>
    <n v="50"/>
    <s v="LKW"/>
  </r>
  <r>
    <x v="0"/>
    <s v="Stahlbeton-Bodenplatte"/>
    <m/>
    <s v="Referenz XPS"/>
    <x v="1"/>
    <s v="Trennlage"/>
    <s v="PE Folie"/>
    <m/>
    <m/>
    <m/>
    <m/>
    <m/>
    <m/>
    <m/>
    <m/>
    <m/>
    <m/>
    <m/>
    <m/>
    <m/>
    <m/>
    <m/>
    <m/>
    <m/>
    <m/>
    <m/>
    <n v="2.4428359344005422E-3"/>
    <n v="2.4428359344005422E-3"/>
    <n v="2.4428359344005422E-3"/>
    <n v="2.9114864363092062E-3"/>
    <n v="2.9114864363092062E-3"/>
    <n v="2.9114864363092062E-3"/>
    <n v="2.7101490924363101E-3"/>
    <n v="2.7101490924363101E-3"/>
    <n v="2.7101490924363101E-3"/>
    <n v="1.6909268711999999E-2"/>
    <n v="1.6909268711999999E-2"/>
    <n v="1.6909268711999999E-2"/>
    <m/>
    <m/>
    <m/>
    <n v="1.8389527933015962E-4"/>
    <n v="1.8389527933015962E-4"/>
    <n v="1.8389527933015962E-4"/>
    <n v="4.5027240124723203E-7"/>
    <n v="4.5027240124723203E-7"/>
    <n v="4.5027240124723203E-7"/>
    <m/>
    <m/>
    <m/>
    <m/>
    <m/>
    <m/>
    <m/>
    <x v="1"/>
    <n v="50"/>
    <s v="LKW"/>
  </r>
  <r>
    <x v="2"/>
    <s v="Holzdecke"/>
    <m/>
    <s v="Referenz MiWo"/>
    <x v="12"/>
    <s v="Dampfbremse"/>
    <s v="PE Folie"/>
    <m/>
    <m/>
    <m/>
    <m/>
    <m/>
    <m/>
    <m/>
    <m/>
    <m/>
    <m/>
    <m/>
    <m/>
    <m/>
    <m/>
    <m/>
    <m/>
    <m/>
    <m/>
    <m/>
    <n v="2.4428359344005422E-3"/>
    <n v="2.4428359344005422E-3"/>
    <n v="2.4428359344005422E-3"/>
    <n v="2.9114864363092062E-3"/>
    <n v="2.9114864363092062E-3"/>
    <n v="2.9114864363092062E-3"/>
    <n v="2.7101490924363101E-3"/>
    <n v="2.7101490924363101E-3"/>
    <n v="2.7101490924363101E-3"/>
    <n v="1.6909268711999999E-2"/>
    <n v="1.6909268711999999E-2"/>
    <n v="1.6909268711999999E-2"/>
    <m/>
    <m/>
    <m/>
    <n v="1.8389527933015962E-4"/>
    <n v="1.8389527933015962E-4"/>
    <n v="1.8389527933015962E-4"/>
    <n v="4.5027240124723203E-7"/>
    <n v="4.5027240124723203E-7"/>
    <n v="4.5027240124723203E-7"/>
    <m/>
    <m/>
    <m/>
    <m/>
    <m/>
    <m/>
    <m/>
    <x v="1"/>
    <n v="50"/>
    <s v="LKW"/>
  </r>
  <r>
    <x v="0"/>
    <s v="Stahlbeton (R-Beton) - Bodenplatte"/>
    <m/>
    <s v="Referenz XPS"/>
    <x v="0"/>
    <s v="Wärmedämmung, Bodenplatte, XPS"/>
    <s v="Extrudierter Polystyrol Dämmstoff (XPS)"/>
    <m/>
    <m/>
    <m/>
    <m/>
    <m/>
    <m/>
    <m/>
    <m/>
    <m/>
    <m/>
    <m/>
    <m/>
    <m/>
    <m/>
    <m/>
    <m/>
    <m/>
    <m/>
    <m/>
    <n v="3.3501749957493145E-2"/>
    <n v="2.2334499971662099E-2"/>
    <n v="5.583624992915525E-2"/>
    <n v="3.992895684081197E-2"/>
    <n v="2.6619304560541315E-2"/>
    <n v="6.6548261401353281E-2"/>
    <n v="3.7167758981983677E-2"/>
    <n v="2.477850598798912E-2"/>
    <n v="6.1946264969972797E-2"/>
    <n v="0.23189854233599996"/>
    <n v="0.15459902822399998"/>
    <n v="0.38649757056"/>
    <m/>
    <m/>
    <m/>
    <n v="2.5219924022421886E-3"/>
    <n v="1.6813282681614591E-3"/>
    <n v="4.2033206704036484E-3"/>
    <n v="6.1751643599620386E-6"/>
    <n v="4.1167762399746935E-6"/>
    <n v="1.0291940599936733E-5"/>
    <m/>
    <m/>
    <m/>
    <m/>
    <m/>
    <m/>
    <m/>
    <x v="1"/>
    <n v="50"/>
    <s v="LKW"/>
  </r>
  <r>
    <x v="0"/>
    <s v="Stahlbeton-Bodenplatte"/>
    <m/>
    <s v="Referenz XPS"/>
    <x v="1"/>
    <s v="Wärmedämmung, Bodenplatte, XPS"/>
    <s v="Extrudierter Polystyrol Dämmstoff (XPS)"/>
    <m/>
    <m/>
    <m/>
    <m/>
    <m/>
    <m/>
    <m/>
    <m/>
    <m/>
    <m/>
    <m/>
    <m/>
    <m/>
    <m/>
    <m/>
    <m/>
    <m/>
    <m/>
    <m/>
    <n v="3.3501749957493145E-2"/>
    <n v="2.2334499971662099E-2"/>
    <n v="5.583624992915525E-2"/>
    <n v="3.992895684081197E-2"/>
    <n v="2.6619304560541315E-2"/>
    <n v="6.6548261401353281E-2"/>
    <n v="3.7167758981983677E-2"/>
    <n v="2.477850598798912E-2"/>
    <n v="6.1946264969972797E-2"/>
    <n v="0.23189854233599996"/>
    <n v="0.15459902822399998"/>
    <n v="0.38649757056"/>
    <m/>
    <m/>
    <m/>
    <n v="2.5219924022421886E-3"/>
    <n v="1.6813282681614591E-3"/>
    <n v="4.2033206704036484E-3"/>
    <n v="6.1751643599620386E-6"/>
    <n v="4.1167762399746935E-6"/>
    <n v="1.0291940599936733E-5"/>
    <m/>
    <m/>
    <m/>
    <m/>
    <m/>
    <m/>
    <m/>
    <x v="1"/>
    <n v="50"/>
    <s v="LKW"/>
  </r>
  <r>
    <x v="2"/>
    <s v="Holzdecke"/>
    <m/>
    <s v="Referenz MiWo"/>
    <x v="12"/>
    <s v="Wandfarbe innen"/>
    <s v="Wandfarbe innen"/>
    <m/>
    <m/>
    <m/>
    <m/>
    <m/>
    <m/>
    <m/>
    <m/>
    <m/>
    <m/>
    <m/>
    <m/>
    <m/>
    <m/>
    <m/>
    <m/>
    <m/>
    <m/>
    <m/>
    <n v="3.1407890585149825E-3"/>
    <n v="3.1407890585149825E-3"/>
    <n v="3.1407890585149825E-3"/>
    <n v="3.743339703826122E-3"/>
    <n v="3.743339703826122E-3"/>
    <n v="3.743339703826122E-3"/>
    <n v="3.4844774045609699E-3"/>
    <n v="3.4844774045609699E-3"/>
    <n v="3.4844774045609699E-3"/>
    <n v="2.1740488343999997E-2"/>
    <n v="2.1740488343999997E-2"/>
    <n v="2.1740488343999997E-2"/>
    <m/>
    <m/>
    <m/>
    <n v="2.3643678771020519E-4"/>
    <n v="2.3643678771020519E-4"/>
    <n v="2.3643678771020519E-4"/>
    <n v="5.789216587464412E-7"/>
    <n v="5.789216587464412E-7"/>
    <n v="5.789216587464412E-7"/>
    <m/>
    <m/>
    <m/>
    <m/>
    <m/>
    <m/>
    <m/>
    <x v="1"/>
    <n v="50"/>
    <s v="LKW"/>
  </r>
  <r>
    <x v="0"/>
    <s v="Stahlbeton (R-Beton) - Bodenplatte"/>
    <m/>
    <s v="Referenz XPS"/>
    <x v="0"/>
    <s v="Estrich"/>
    <s v="Zementestrich"/>
    <m/>
    <m/>
    <m/>
    <m/>
    <m/>
    <m/>
    <m/>
    <m/>
    <m/>
    <m/>
    <m/>
    <m/>
    <m/>
    <m/>
    <m/>
    <m/>
    <m/>
    <m/>
    <m/>
    <n v="3.1407890585149825"/>
    <n v="3.1407890585149825"/>
    <n v="3.1407890585149825"/>
    <n v="3.743339703826122"/>
    <n v="3.743339703826122"/>
    <n v="3.743339703826122"/>
    <n v="3.4844774045609697"/>
    <n v="3.4844774045609697"/>
    <n v="3.4844774045609697"/>
    <n v="21.740488343999999"/>
    <n v="21.740488343999999"/>
    <n v="21.740488343999999"/>
    <m/>
    <m/>
    <m/>
    <n v="0.23643678771020518"/>
    <n v="0.23643678771020518"/>
    <n v="0.23643678771020518"/>
    <n v="5.7892165874644111E-4"/>
    <n v="5.7892165874644111E-4"/>
    <n v="5.7892165874644111E-4"/>
    <m/>
    <m/>
    <m/>
    <m/>
    <m/>
    <m/>
    <m/>
    <x v="1"/>
    <n v="50"/>
    <s v="LKW"/>
  </r>
  <r>
    <x v="0"/>
    <s v="Stahlbeton-Bodenplatte"/>
    <m/>
    <s v="Referenz XPS"/>
    <x v="1"/>
    <s v="Estrich"/>
    <s v="Zementestrich"/>
    <m/>
    <m/>
    <m/>
    <m/>
    <m/>
    <m/>
    <m/>
    <m/>
    <m/>
    <m/>
    <m/>
    <m/>
    <m/>
    <m/>
    <m/>
    <m/>
    <m/>
    <m/>
    <m/>
    <n v="3.1407890585149825"/>
    <n v="3.1407890585149825"/>
    <n v="3.1407890585149825"/>
    <n v="3.743339703826122"/>
    <n v="3.743339703826122"/>
    <n v="3.743339703826122"/>
    <n v="3.4844774045609697"/>
    <n v="3.4844774045609697"/>
    <n v="3.4844774045609697"/>
    <n v="21.740488343999999"/>
    <n v="21.740488343999999"/>
    <n v="21.740488343999999"/>
    <m/>
    <m/>
    <m/>
    <n v="0.23643678771020518"/>
    <n v="0.23643678771020518"/>
    <n v="0.23643678771020518"/>
    <n v="5.7892165874644111E-4"/>
    <n v="5.7892165874644111E-4"/>
    <n v="5.7892165874644111E-4"/>
    <m/>
    <m/>
    <m/>
    <m/>
    <m/>
    <m/>
    <m/>
    <x v="1"/>
    <n v="50"/>
    <s v="LKW"/>
  </r>
  <r>
    <x v="2"/>
    <s v="Holzdecke"/>
    <m/>
    <s v="Referenz MiWo"/>
    <x v="12"/>
    <s v="Estrich"/>
    <s v="Zementestrich"/>
    <m/>
    <m/>
    <m/>
    <m/>
    <m/>
    <m/>
    <m/>
    <m/>
    <m/>
    <m/>
    <m/>
    <m/>
    <m/>
    <m/>
    <m/>
    <m/>
    <m/>
    <m/>
    <m/>
    <n v="1.2563156234059931"/>
    <n v="1.2563156234059931"/>
    <n v="1.2563156234059931"/>
    <n v="1.4973358815304487"/>
    <n v="1.4973358815304487"/>
    <n v="1.4973358815304487"/>
    <n v="1.393790961824388"/>
    <n v="1.393790961824388"/>
    <n v="1.393790961824388"/>
    <n v="8.696195337599999"/>
    <n v="8.696195337599999"/>
    <n v="8.696195337599999"/>
    <m/>
    <m/>
    <m/>
    <n v="9.4574715084082078E-2"/>
    <n v="9.4574715084082078E-2"/>
    <n v="9.4574715084082078E-2"/>
    <n v="2.3156866349857645E-4"/>
    <n v="2.3156866349857645E-4"/>
    <n v="2.3156866349857645E-4"/>
    <m/>
    <m/>
    <m/>
    <m/>
    <m/>
    <m/>
    <m/>
    <x v="1"/>
    <n v="50"/>
    <s v="LKW"/>
  </r>
  <r>
    <x v="0"/>
    <s v="Stahlbeton (R-Beton) - Bodenplatte"/>
    <m/>
    <s v="Referenz XPS"/>
    <x v="0"/>
    <s v="Bewehrung"/>
    <s v="Bewehrungsstahl"/>
    <m/>
    <m/>
    <m/>
    <m/>
    <m/>
    <m/>
    <m/>
    <m/>
    <m/>
    <m/>
    <m/>
    <m/>
    <m/>
    <m/>
    <m/>
    <m/>
    <m/>
    <m/>
    <m/>
    <n v="0.15808638261192079"/>
    <n v="0.15808638261192079"/>
    <n v="0.15808638261192079"/>
    <n v="0.18841476509258148"/>
    <n v="0.18841476509258148"/>
    <n v="0.18841476509258148"/>
    <n v="0.1753853626962355"/>
    <n v="0.1753853626962355"/>
    <n v="0.1753853626962355"/>
    <n v="1.094271246648"/>
    <n v="1.094271246648"/>
    <n v="1.094271246648"/>
    <m/>
    <m/>
    <m/>
    <n v="1.1900651648080329E-2"/>
    <n v="1.1900651648080329E-2"/>
    <n v="1.1900651648080329E-2"/>
    <n v="2.9139056823570876E-5"/>
    <n v="2.9139056823570876E-5"/>
    <n v="2.9139056823570876E-5"/>
    <m/>
    <m/>
    <m/>
    <m/>
    <m/>
    <m/>
    <m/>
    <x v="1"/>
    <n v="50"/>
    <s v="LKW"/>
  </r>
  <r>
    <x v="0"/>
    <s v="Stahlbeton-Bodenplatte"/>
    <m/>
    <s v="Referenz XPS"/>
    <x v="1"/>
    <s v="Bewehrung"/>
    <s v="Bewehrungsstahl"/>
    <m/>
    <m/>
    <m/>
    <m/>
    <m/>
    <m/>
    <m/>
    <m/>
    <m/>
    <m/>
    <m/>
    <m/>
    <m/>
    <m/>
    <m/>
    <m/>
    <m/>
    <m/>
    <m/>
    <n v="0.15808638261192079"/>
    <n v="0.15808638261192079"/>
    <n v="0.15808638261192079"/>
    <n v="0.18841476509258148"/>
    <n v="0.18841476509258148"/>
    <n v="0.18841476509258148"/>
    <n v="0.1753853626962355"/>
    <n v="0.1753853626962355"/>
    <n v="0.1753853626962355"/>
    <n v="1.094271246648"/>
    <n v="1.094271246648"/>
    <n v="1.094271246648"/>
    <m/>
    <m/>
    <m/>
    <n v="1.1900651648080329E-2"/>
    <n v="1.1900651648080329E-2"/>
    <n v="1.1900651648080329E-2"/>
    <n v="2.9139056823570876E-5"/>
    <n v="2.9139056823570876E-5"/>
    <n v="2.9139056823570876E-5"/>
    <m/>
    <m/>
    <m/>
    <m/>
    <m/>
    <m/>
    <m/>
    <x v="1"/>
    <n v="50"/>
    <s v="LKW"/>
  </r>
  <r>
    <x v="0"/>
    <s v="Stahlbeton (R-Beton) - Bodenplatte"/>
    <m/>
    <s v="Referenz XPS"/>
    <x v="0"/>
    <s v="Abdichtung"/>
    <s v="Bitumenbahnn"/>
    <m/>
    <m/>
    <m/>
    <m/>
    <m/>
    <m/>
    <m/>
    <m/>
    <m/>
    <m/>
    <m/>
    <m/>
    <m/>
    <m/>
    <m/>
    <m/>
    <m/>
    <m/>
    <m/>
    <n v="4.7111835877724745E-2"/>
    <n v="4.7111835877724745E-2"/>
    <n v="4.7111835877724745E-2"/>
    <n v="5.6150095557391838E-2"/>
    <n v="5.6150095557391838E-2"/>
    <n v="5.6150095557391838E-2"/>
    <n v="5.2267161068414551E-2"/>
    <n v="5.2267161068414551E-2"/>
    <n v="5.2267161068414551E-2"/>
    <n v="0.32610732515999996"/>
    <n v="0.32610732515999996"/>
    <n v="0.32610732515999996"/>
    <m/>
    <m/>
    <m/>
    <n v="3.5465518156530783E-3"/>
    <n v="3.5465518156530783E-3"/>
    <n v="3.5465518156530783E-3"/>
    <n v="8.6838248811966189E-6"/>
    <n v="8.6838248811966189E-6"/>
    <n v="8.6838248811966189E-6"/>
    <m/>
    <m/>
    <m/>
    <m/>
    <m/>
    <m/>
    <m/>
    <x v="1"/>
    <n v="50"/>
    <s v="LKW"/>
  </r>
  <r>
    <x v="0"/>
    <s v="Stahlbeton-Bodenplatte"/>
    <m/>
    <s v="Referenz XPS"/>
    <x v="1"/>
    <s v="Abdichtung"/>
    <s v="Bitumenbahnn"/>
    <m/>
    <m/>
    <m/>
    <m/>
    <m/>
    <m/>
    <m/>
    <m/>
    <m/>
    <m/>
    <m/>
    <m/>
    <m/>
    <m/>
    <m/>
    <m/>
    <m/>
    <m/>
    <m/>
    <n v="4.7111835877724745E-2"/>
    <n v="4.7111835877724745E-2"/>
    <n v="4.7111835877724745E-2"/>
    <n v="5.6150095557391838E-2"/>
    <n v="5.6150095557391838E-2"/>
    <n v="5.6150095557391838E-2"/>
    <n v="5.2267161068414551E-2"/>
    <n v="5.2267161068414551E-2"/>
    <n v="5.2267161068414551E-2"/>
    <n v="0.32610732515999996"/>
    <n v="0.32610732515999996"/>
    <n v="0.32610732515999996"/>
    <m/>
    <m/>
    <m/>
    <n v="3.5465518156530783E-3"/>
    <n v="3.5465518156530783E-3"/>
    <n v="3.5465518156530783E-3"/>
    <n v="8.6838248811966189E-6"/>
    <n v="8.6838248811966189E-6"/>
    <n v="8.6838248811966189E-6"/>
    <m/>
    <m/>
    <m/>
    <m/>
    <m/>
    <m/>
    <m/>
    <x v="1"/>
    <n v="50"/>
    <s v="LKW"/>
  </r>
  <r>
    <x v="1"/>
    <s v="Mauerwerk, einschalig - Kalksandstein (KS) mit Dämmung"/>
    <m/>
    <s v="Hanf"/>
    <x v="4"/>
    <s v="Gipskartonplatte"/>
    <s v="Gipskartonplatte (12,5 mm)"/>
    <m/>
    <m/>
    <m/>
    <m/>
    <m/>
    <m/>
    <m/>
    <m/>
    <m/>
    <m/>
    <m/>
    <m/>
    <m/>
    <m/>
    <m/>
    <m/>
    <m/>
    <m/>
    <m/>
    <n v="8.7244140514305069E-2"/>
    <n v="8.7244140514305069E-2"/>
    <n v="8.7244140514305069E-2"/>
    <n v="0.1039816584396145"/>
    <n v="0.1039816584396145"/>
    <n v="0.1039816584396145"/>
    <n v="9.6791039015582503E-2"/>
    <n v="9.6791039015582503E-2"/>
    <n v="9.6791039015582503E-2"/>
    <n v="0.60390245399999998"/>
    <n v="0.60390245399999998"/>
    <n v="0.60390245399999998"/>
    <m/>
    <m/>
    <m/>
    <n v="6.5676885475057E-3"/>
    <n v="6.5676885475057E-3"/>
    <n v="6.5676885475057E-3"/>
    <n v="1.6081157187401144E-5"/>
    <n v="1.6081157187401144E-5"/>
    <n v="1.6081157187401144E-5"/>
    <m/>
    <m/>
    <m/>
    <m/>
    <m/>
    <m/>
    <m/>
    <x v="1"/>
    <n v="50"/>
    <s v="LKW"/>
  </r>
  <r>
    <x v="1"/>
    <s v="Mauerwerk, einschalig - Kalksandstein (KS) mit Dämmung"/>
    <m/>
    <s v="Zellulose"/>
    <x v="5"/>
    <s v="Gipskartonplatte"/>
    <s v="Gipskartonplatte (12,5 mm)"/>
    <m/>
    <m/>
    <m/>
    <m/>
    <m/>
    <m/>
    <m/>
    <m/>
    <m/>
    <m/>
    <m/>
    <m/>
    <m/>
    <m/>
    <m/>
    <m/>
    <m/>
    <m/>
    <m/>
    <n v="8.7244140514305069E-2"/>
    <n v="8.7244140514305069E-2"/>
    <n v="8.7244140514305069E-2"/>
    <n v="0.1039816584396145"/>
    <n v="0.1039816584396145"/>
    <n v="0.1039816584396145"/>
    <n v="9.6791039015582503E-2"/>
    <n v="9.6791039015582503E-2"/>
    <n v="9.6791039015582503E-2"/>
    <n v="0.60390245399999998"/>
    <n v="0.60390245399999998"/>
    <n v="0.60390245399999998"/>
    <m/>
    <m/>
    <m/>
    <n v="6.5676885475057E-3"/>
    <n v="6.5676885475057E-3"/>
    <n v="6.5676885475057E-3"/>
    <n v="1.6081157187401144E-5"/>
    <n v="1.6081157187401144E-5"/>
    <n v="1.6081157187401144E-5"/>
    <m/>
    <m/>
    <m/>
    <m/>
    <m/>
    <m/>
    <m/>
    <x v="1"/>
    <n v="50"/>
    <s v="LKW"/>
  </r>
  <r>
    <x v="1"/>
    <s v="Holzrahmenbau - Holzständerbauweise (HSB)"/>
    <m/>
    <s v="Referenz MiWo"/>
    <x v="8"/>
    <s v="Gipskartonplatte"/>
    <s v="Gipskartonplatte (12,5 mm)"/>
    <m/>
    <m/>
    <m/>
    <m/>
    <m/>
    <m/>
    <m/>
    <m/>
    <m/>
    <m/>
    <m/>
    <m/>
    <m/>
    <m/>
    <m/>
    <m/>
    <m/>
    <m/>
    <m/>
    <n v="8.7244140514305069E-2"/>
    <n v="8.7244140514305069E-2"/>
    <n v="8.7244140514305069E-2"/>
    <n v="0.1039816584396145"/>
    <n v="0.1039816584396145"/>
    <n v="0.1039816584396145"/>
    <n v="9.6791039015582503E-2"/>
    <n v="9.6791039015582503E-2"/>
    <n v="9.6791039015582503E-2"/>
    <n v="0.60390245399999998"/>
    <n v="0.60390245399999998"/>
    <n v="0.60390245399999998"/>
    <m/>
    <m/>
    <m/>
    <n v="6.5676885475057E-3"/>
    <n v="6.5676885475057E-3"/>
    <n v="6.5676885475057E-3"/>
    <n v="1.6081157187401144E-5"/>
    <n v="1.6081157187401144E-5"/>
    <n v="1.6081157187401144E-5"/>
    <m/>
    <m/>
    <m/>
    <m/>
    <m/>
    <m/>
    <m/>
    <x v="1"/>
    <n v="50"/>
    <s v="LKW"/>
  </r>
  <r>
    <x v="1"/>
    <s v="Holzrahmenbau - Holzständerbauweise (HSB)"/>
    <m/>
    <s v="Stroh"/>
    <x v="9"/>
    <s v="Gipskartonplatte"/>
    <s v="Gipskartonplatte (12,5 mm)"/>
    <m/>
    <m/>
    <m/>
    <m/>
    <m/>
    <m/>
    <m/>
    <m/>
    <m/>
    <m/>
    <m/>
    <m/>
    <m/>
    <m/>
    <m/>
    <m/>
    <m/>
    <m/>
    <m/>
    <n v="8.7244140514305069E-2"/>
    <n v="8.7244140514305069E-2"/>
    <n v="8.7244140514305069E-2"/>
    <n v="0.1039816584396145"/>
    <n v="0.1039816584396145"/>
    <n v="0.1039816584396145"/>
    <n v="9.6791039015582503E-2"/>
    <n v="9.6791039015582503E-2"/>
    <n v="9.6791039015582503E-2"/>
    <n v="0.60390245399999998"/>
    <n v="0.60390245399999998"/>
    <n v="0.60390245399999998"/>
    <m/>
    <m/>
    <m/>
    <n v="6.5676885475057E-3"/>
    <n v="6.5676885475057E-3"/>
    <n v="6.5676885475057E-3"/>
    <n v="1.6081157187401144E-5"/>
    <n v="1.6081157187401144E-5"/>
    <n v="1.6081157187401144E-5"/>
    <m/>
    <m/>
    <m/>
    <m/>
    <m/>
    <m/>
    <m/>
    <x v="1"/>
    <n v="50"/>
    <s v="LKW"/>
  </r>
  <r>
    <x v="2"/>
    <s v="Holzdecke"/>
    <m/>
    <s v="Referenz MiWo"/>
    <x v="12"/>
    <s v="Gipskartonplatte"/>
    <s v="Gipskartonplatte (12,5 mm)"/>
    <m/>
    <m/>
    <m/>
    <m/>
    <m/>
    <m/>
    <m/>
    <m/>
    <m/>
    <m/>
    <m/>
    <m/>
    <m/>
    <m/>
    <m/>
    <m/>
    <m/>
    <m/>
    <m/>
    <n v="8.7244140514305069E-2"/>
    <n v="8.7244140514305069E-2"/>
    <n v="8.7244140514305069E-2"/>
    <n v="0.1039816584396145"/>
    <n v="0.1039816584396145"/>
    <n v="0.1039816584396145"/>
    <n v="9.6791039015582503E-2"/>
    <n v="9.6791039015582503E-2"/>
    <n v="9.6791039015582503E-2"/>
    <n v="0.60390245399999998"/>
    <n v="0.60390245399999998"/>
    <n v="0.60390245399999998"/>
    <m/>
    <m/>
    <m/>
    <n v="6.5676885475057E-3"/>
    <n v="6.5676885475057E-3"/>
    <n v="6.5676885475057E-3"/>
    <n v="1.6081157187401144E-5"/>
    <n v="1.6081157187401144E-5"/>
    <n v="1.6081157187401144E-5"/>
    <m/>
    <m/>
    <m/>
    <m/>
    <m/>
    <m/>
    <m/>
    <x v="1"/>
    <n v="50"/>
    <s v="LKW"/>
  </r>
  <r>
    <x v="2"/>
    <s v="Metalldecke"/>
    <m/>
    <s v="Referenz XPS"/>
    <x v="13"/>
    <s v="Gipskartonlochplatte"/>
    <s v="Gipskartonplatte (gelocht, 12,5 mm)"/>
    <m/>
    <m/>
    <m/>
    <m/>
    <m/>
    <m/>
    <m/>
    <m/>
    <m/>
    <m/>
    <m/>
    <m/>
    <m/>
    <m/>
    <m/>
    <m/>
    <m/>
    <m/>
    <m/>
    <n v="8.7244140514305069E-2"/>
    <n v="8.7244140514305069E-2"/>
    <n v="8.7244140514305069E-2"/>
    <n v="0.1039816584396145"/>
    <n v="0.1039816584396145"/>
    <n v="0.1039816584396145"/>
    <n v="9.6791039015582503E-2"/>
    <n v="9.6791039015582503E-2"/>
    <n v="9.6791039015582503E-2"/>
    <n v="0.60390245399999998"/>
    <n v="0.60390245399999998"/>
    <n v="0.60390245399999998"/>
    <m/>
    <m/>
    <m/>
    <n v="6.5676885475057E-3"/>
    <n v="6.5676885475057E-3"/>
    <n v="6.5676885475057E-3"/>
    <n v="1.6081157187401144E-5"/>
    <n v="1.6081157187401144E-5"/>
    <n v="1.6081157187401144E-5"/>
    <m/>
    <m/>
    <m/>
    <m/>
    <m/>
    <m/>
    <m/>
    <x v="1"/>
    <n v="50"/>
    <s v="LKW"/>
  </r>
  <r>
    <x v="1"/>
    <s v="Mauerwerk, einschalig - Kalksandstein (KS) mit Dämmung"/>
    <m/>
    <s v="Referenz EPS"/>
    <x v="2"/>
    <s v="Kalksandstein"/>
    <s v="Kalksandstein"/>
    <m/>
    <m/>
    <m/>
    <m/>
    <m/>
    <m/>
    <m/>
    <m/>
    <m/>
    <m/>
    <m/>
    <m/>
    <m/>
    <m/>
    <m/>
    <m/>
    <m/>
    <m/>
    <m/>
    <n v="3.0535449180006777"/>
    <n v="3.0535449180006777"/>
    <n v="3.0535449180006777"/>
    <n v="3.6393580453865075"/>
    <n v="3.6393580453865075"/>
    <n v="3.6393580453865075"/>
    <n v="3.3876863655453873"/>
    <n v="3.3876863655453873"/>
    <n v="3.3876863655453873"/>
    <n v="21.136585889999999"/>
    <n v="21.136585889999999"/>
    <n v="21.136585889999999"/>
    <m/>
    <m/>
    <m/>
    <n v="0.22986909916269949"/>
    <n v="0.22986909916269949"/>
    <n v="0.22986909916269949"/>
    <n v="5.6284050155903996E-4"/>
    <n v="5.6284050155903996E-4"/>
    <n v="5.6284050155903996E-4"/>
    <m/>
    <m/>
    <m/>
    <m/>
    <m/>
    <m/>
    <m/>
    <x v="1"/>
    <n v="50"/>
    <s v="LKW"/>
  </r>
  <r>
    <x v="1"/>
    <s v="Mauerwerk, einschalig - Kalksandstein (KS) mit Dämmung"/>
    <m/>
    <s v="Hanf"/>
    <x v="4"/>
    <s v="Kalksandstein"/>
    <s v="Kalksandstein"/>
    <m/>
    <m/>
    <m/>
    <m/>
    <m/>
    <m/>
    <m/>
    <m/>
    <m/>
    <m/>
    <m/>
    <m/>
    <m/>
    <m/>
    <m/>
    <m/>
    <m/>
    <m/>
    <m/>
    <n v="2.0938593723433216"/>
    <n v="2.0938593723433216"/>
    <n v="2.0938593723433216"/>
    <n v="2.4955598025507482"/>
    <n v="2.4955598025507482"/>
    <n v="2.4955598025507482"/>
    <n v="2.3229849363739801"/>
    <n v="2.3229849363739801"/>
    <n v="2.3229849363739801"/>
    <n v="14.493658895999998"/>
    <n v="14.493658895999998"/>
    <n v="14.493658895999998"/>
    <m/>
    <m/>
    <m/>
    <n v="0.15762452514013681"/>
    <n v="0.15762452514013681"/>
    <n v="0.15762452514013681"/>
    <n v="3.8594777249762748E-4"/>
    <n v="3.8594777249762748E-4"/>
    <n v="3.8594777249762748E-4"/>
    <m/>
    <m/>
    <m/>
    <m/>
    <m/>
    <m/>
    <m/>
    <x v="1"/>
    <n v="50"/>
    <s v="LKW"/>
  </r>
  <r>
    <x v="1"/>
    <s v="Mauerwerk, einschalig - Kalksandstein (KS) mit Dämmung"/>
    <m/>
    <s v="Zellulose"/>
    <x v="5"/>
    <s v="Kalksandstein"/>
    <s v="Kalksandstein"/>
    <m/>
    <m/>
    <m/>
    <m/>
    <m/>
    <m/>
    <m/>
    <m/>
    <m/>
    <m/>
    <m/>
    <m/>
    <m/>
    <m/>
    <m/>
    <m/>
    <m/>
    <m/>
    <m/>
    <n v="3.0535449180006777"/>
    <n v="3.0535449180006777"/>
    <n v="3.0535449180006777"/>
    <n v="3.6393580453865075"/>
    <n v="3.6393580453865075"/>
    <n v="3.6393580453865075"/>
    <n v="3.3876863655453873"/>
    <n v="3.3876863655453873"/>
    <n v="3.3876863655453873"/>
    <n v="21.136585889999999"/>
    <n v="21.136585889999999"/>
    <n v="21.136585889999999"/>
    <m/>
    <m/>
    <m/>
    <n v="0.22986909916269949"/>
    <n v="0.22986909916269949"/>
    <n v="0.22986909916269949"/>
    <n v="5.6284050155903996E-4"/>
    <n v="5.6284050155903996E-4"/>
    <n v="5.6284050155903996E-4"/>
    <m/>
    <m/>
    <m/>
    <m/>
    <m/>
    <m/>
    <m/>
    <x v="1"/>
    <n v="50"/>
    <s v="LKW"/>
  </r>
  <r>
    <x v="1"/>
    <s v="Mauerwerk, einschalig - Mauerziegel (gefüllt)"/>
    <m/>
    <s v="Referenz"/>
    <x v="6"/>
    <s v="Mauerziegel (mit Dämmstoff gefüllt)"/>
    <s v="Mauerziegel (mit Dämmstoff gefüllt)"/>
    <m/>
    <m/>
    <m/>
    <m/>
    <m/>
    <m/>
    <m/>
    <m/>
    <m/>
    <m/>
    <m/>
    <m/>
    <m/>
    <m/>
    <m/>
    <m/>
    <m/>
    <m/>
    <m/>
    <n v="1.9265251108368846"/>
    <n v="1.9265251108368846"/>
    <n v="1.9265251108368846"/>
    <n v="2.2961229816635673"/>
    <n v="2.2961229816635673"/>
    <n v="2.2961229816635673"/>
    <n v="2.1373397235420928"/>
    <n v="2.1373397235420928"/>
    <n v="2.1373397235420928"/>
    <n v="13.335373989227998"/>
    <n v="13.335373989227998"/>
    <n v="13.335373989227998"/>
    <m/>
    <m/>
    <m/>
    <n v="0.14502769850602085"/>
    <n v="0.14502769850602085"/>
    <n v="0.14502769850602085"/>
    <n v="3.5510411301219207E-4"/>
    <n v="3.5510411301219207E-4"/>
    <n v="3.5510411301219207E-4"/>
    <m/>
    <m/>
    <m/>
    <m/>
    <m/>
    <m/>
    <m/>
    <x v="1"/>
    <n v="50"/>
    <s v="LKW"/>
  </r>
  <r>
    <x v="1"/>
    <s v="Mauerwerk, einschalig - Hochlochziegel (HLZ)"/>
    <m/>
    <s v="Referenz MiWo"/>
    <x v="3"/>
    <s v="Hochlochziegel"/>
    <s v="Mauerziegel, ungefüllt"/>
    <m/>
    <m/>
    <m/>
    <m/>
    <m/>
    <m/>
    <m/>
    <m/>
    <m/>
    <m/>
    <m/>
    <m/>
    <m/>
    <m/>
    <m/>
    <m/>
    <m/>
    <m/>
    <m/>
    <n v="1.2039691390974101"/>
    <n v="1.2039691390974101"/>
    <n v="1.2039691390974101"/>
    <n v="1.4349468864666801"/>
    <n v="1.4349468864666801"/>
    <n v="1.4349468864666801"/>
    <n v="1.3357163384150383"/>
    <n v="1.3357163384150383"/>
    <n v="1.3357163384150383"/>
    <n v="8.3338538651999983"/>
    <n v="8.3338538651999983"/>
    <n v="8.3338538651999983"/>
    <m/>
    <m/>
    <m/>
    <n v="9.0634101955578653E-2"/>
    <n v="9.0634101955578653E-2"/>
    <n v="9.0634101955578653E-2"/>
    <n v="2.2191996918613578E-4"/>
    <n v="2.2191996918613578E-4"/>
    <n v="2.2191996918613578E-4"/>
    <m/>
    <m/>
    <m/>
    <m/>
    <m/>
    <m/>
    <m/>
    <x v="1"/>
    <n v="50"/>
    <s v="LKW"/>
  </r>
  <r>
    <x v="1"/>
    <s v="Mauerwerk, zweischalig - Vollziegel (VZ)"/>
    <m/>
    <s v="Referenz MiWo"/>
    <x v="7"/>
    <s v="Hochlochziegel"/>
    <s v="Mauerziegel, ungefüllt"/>
    <m/>
    <m/>
    <m/>
    <m/>
    <m/>
    <m/>
    <m/>
    <m/>
    <m/>
    <m/>
    <m/>
    <m/>
    <m/>
    <m/>
    <m/>
    <m/>
    <m/>
    <m/>
    <m/>
    <n v="1.2039691390974101"/>
    <n v="1.2039691390974101"/>
    <n v="1.2039691390974101"/>
    <n v="1.4349468864666801"/>
    <n v="1.4349468864666801"/>
    <n v="1.4349468864666801"/>
    <n v="1.3357163384150383"/>
    <n v="1.3357163384150383"/>
    <n v="1.3357163384150383"/>
    <n v="8.3338538651999983"/>
    <n v="8.3338538651999983"/>
    <n v="8.3338538651999983"/>
    <m/>
    <m/>
    <m/>
    <n v="9.0634101955578653E-2"/>
    <n v="9.0634101955578653E-2"/>
    <n v="9.0634101955578653E-2"/>
    <n v="2.2191996918613578E-4"/>
    <n v="2.2191996918613578E-4"/>
    <n v="2.2191996918613578E-4"/>
    <m/>
    <m/>
    <m/>
    <m/>
    <m/>
    <m/>
    <m/>
    <x v="1"/>
    <n v="50"/>
    <s v="LKW"/>
  </r>
  <r>
    <x v="1"/>
    <s v="Mauerwerk, einschalig - Kalksandstein (KS) mit Dämmung"/>
    <m/>
    <s v="Referenz EPS"/>
    <x v="2"/>
    <s v="Dämmung EPS, Außenwand"/>
    <s v="Expandiertes Polystyrol (EPS)"/>
    <m/>
    <m/>
    <m/>
    <m/>
    <m/>
    <m/>
    <m/>
    <m/>
    <m/>
    <m/>
    <m/>
    <m/>
    <m/>
    <m/>
    <m/>
    <m/>
    <m/>
    <m/>
    <m/>
    <n v="3.0535449180006776E-2"/>
    <n v="2.1811035128576267E-2"/>
    <n v="4.798427728286779E-2"/>
    <n v="3.6393580453865079E-2"/>
    <n v="2.5995414609903626E-2"/>
    <n v="5.718991214178798E-2"/>
    <n v="3.3876863655453872E-2"/>
    <n v="2.4197759753895626E-2"/>
    <n v="5.3235071458570371E-2"/>
    <n v="0.21136585889999998"/>
    <n v="0.15097561349999999"/>
    <n v="0.33214634969999995"/>
    <m/>
    <m/>
    <m/>
    <n v="2.2986909916269949E-3"/>
    <n v="1.641922136876425E-3"/>
    <n v="3.612228701128135E-3"/>
    <n v="5.6284050155904009E-6"/>
    <n v="4.020289296850286E-6"/>
    <n v="8.844636453070629E-6"/>
    <m/>
    <m/>
    <m/>
    <m/>
    <m/>
    <m/>
    <m/>
    <x v="1"/>
    <n v="50"/>
    <s v="LKW"/>
  </r>
  <r>
    <x v="1"/>
    <s v="Mauerwerk, zweischalig - Vollziegel (VZ)"/>
    <m/>
    <s v="Referenz MiWo"/>
    <x v="7"/>
    <s v="Vollziegel"/>
    <s v="Vormauerziegel"/>
    <m/>
    <m/>
    <m/>
    <m/>
    <m/>
    <m/>
    <m/>
    <m/>
    <m/>
    <m/>
    <m/>
    <m/>
    <m/>
    <m/>
    <m/>
    <m/>
    <m/>
    <m/>
    <m/>
    <n v="1.8844734351089896"/>
    <n v="1.8844734351089896"/>
    <n v="1.8844734351089896"/>
    <n v="2.2460038222956733"/>
    <n v="2.2460038222956733"/>
    <n v="2.2460038222956733"/>
    <n v="2.0906864427365819"/>
    <n v="2.0906864427365819"/>
    <n v="2.0906864427365819"/>
    <n v="13.044293006399998"/>
    <n v="13.044293006399998"/>
    <n v="13.044293006399998"/>
    <m/>
    <m/>
    <m/>
    <n v="0.1418620726261231"/>
    <n v="0.1418620726261231"/>
    <n v="0.1418620726261231"/>
    <n v="3.4735299524786469E-4"/>
    <n v="3.4735299524786469E-4"/>
    <n v="3.4735299524786469E-4"/>
    <m/>
    <m/>
    <m/>
    <m/>
    <m/>
    <m/>
    <m/>
    <x v="1"/>
    <n v="50"/>
    <s v="LKW"/>
  </r>
  <r>
    <x v="1"/>
    <s v="Mauerwerk, einschalig - Hochlochziegel (HLZ)"/>
    <m/>
    <s v="Referenz MiWo"/>
    <x v="3"/>
    <s v="Dämmung MW, Außenwand"/>
    <s v="Mineralwolle"/>
    <m/>
    <m/>
    <m/>
    <m/>
    <m/>
    <m/>
    <m/>
    <m/>
    <m/>
    <m/>
    <m/>
    <m/>
    <m/>
    <m/>
    <m/>
    <m/>
    <m/>
    <m/>
    <m/>
    <n v="4.8420497985439313E-2"/>
    <n v="3.2280331990292878E-2"/>
    <n v="8.0700829975732191E-2"/>
    <n v="5.7709820433986043E-2"/>
    <n v="3.8473213622657369E-2"/>
    <n v="9.6183034056643413E-2"/>
    <n v="5.3719026653648284E-2"/>
    <n v="3.5812684435765525E-2"/>
    <n v="8.953171108941381E-2"/>
    <n v="0.33516586196999998"/>
    <n v="0.22344390797999999"/>
    <n v="0.55860976994999989"/>
    <m/>
    <m/>
    <m/>
    <n v="3.6450671438656634E-3"/>
    <n v="2.4300447625771092E-3"/>
    <n v="6.0751119064427726E-3"/>
    <n v="8.925042239007634E-6"/>
    <n v="5.9500281593384235E-6"/>
    <n v="1.487507039834606E-5"/>
    <m/>
    <m/>
    <m/>
    <m/>
    <m/>
    <m/>
    <m/>
    <x v="1"/>
    <n v="50"/>
    <s v="LKW"/>
  </r>
  <r>
    <x v="1"/>
    <s v="Mauerwerk, zweischalig - Vollziegel (VZ)"/>
    <m/>
    <s v="Referenz MiWo"/>
    <x v="7"/>
    <s v="Dämmung MW, Außenwand"/>
    <s v="Mineralwolle"/>
    <m/>
    <m/>
    <m/>
    <m/>
    <m/>
    <m/>
    <m/>
    <m/>
    <m/>
    <m/>
    <m/>
    <m/>
    <m/>
    <m/>
    <m/>
    <m/>
    <m/>
    <m/>
    <m/>
    <n v="4.8420497985439313E-2"/>
    <n v="3.2280331990292878E-2"/>
    <n v="8.0700829975732191E-2"/>
    <n v="5.7709820433986043E-2"/>
    <n v="3.8473213622657369E-2"/>
    <n v="9.6183034056643413E-2"/>
    <n v="5.3719026653648284E-2"/>
    <n v="3.5812684435765525E-2"/>
    <n v="8.953171108941381E-2"/>
    <n v="0.33516586196999998"/>
    <n v="0.22344390797999999"/>
    <n v="0.55860976994999989"/>
    <m/>
    <m/>
    <m/>
    <n v="3.6450671438656634E-3"/>
    <n v="2.4300447625771092E-3"/>
    <n v="6.0751119064427726E-3"/>
    <n v="8.925042239007634E-6"/>
    <n v="5.9500281593384235E-6"/>
    <n v="1.487507039834606E-5"/>
    <m/>
    <m/>
    <m/>
    <m/>
    <m/>
    <m/>
    <m/>
    <x v="1"/>
    <n v="50"/>
    <s v="LKW"/>
  </r>
  <r>
    <x v="1"/>
    <s v="Holzrahmenbau - Holzständerbauweise (HSB)"/>
    <m/>
    <s v="Referenz MiWo"/>
    <x v="8"/>
    <s v="Dämmung MW, Außenwand"/>
    <s v="Mineralwolle"/>
    <m/>
    <m/>
    <m/>
    <m/>
    <m/>
    <m/>
    <m/>
    <m/>
    <m/>
    <m/>
    <m/>
    <m/>
    <m/>
    <m/>
    <m/>
    <m/>
    <m/>
    <m/>
    <m/>
    <n v="4.1615455025323517E-2"/>
    <n v="2.7743636683549015E-2"/>
    <n v="6.9446335849386837E-2"/>
    <n v="4.9599251075696113E-2"/>
    <n v="3.3066167383797411E-2"/>
    <n v="8.2769400117933142E-2"/>
    <n v="4.6169325610432847E-2"/>
    <n v="3.0779550406955236E-2"/>
    <n v="7.7045667056403672E-2"/>
    <n v="0.28806147055799997"/>
    <n v="0.19204098037199999"/>
    <n v="0.48070635338399997"/>
    <m/>
    <m/>
    <m/>
    <n v="3.1327874371602183E-3"/>
    <n v="2.0885249581068127E-3"/>
    <n v="5.2278800838145368E-3"/>
    <n v="7.6707119783903451E-6"/>
    <n v="5.113807985593564E-6"/>
    <n v="1.2800601121171311E-5"/>
    <m/>
    <m/>
    <m/>
    <m/>
    <m/>
    <m/>
    <m/>
    <x v="1"/>
    <n v="50"/>
    <s v="LKW"/>
  </r>
  <r>
    <x v="2"/>
    <s v="Holzdecke"/>
    <m/>
    <s v="Referenz MiWo"/>
    <x v="12"/>
    <s v="Dämmung, Holzdecke"/>
    <s v="Mineralwolle"/>
    <m/>
    <m/>
    <m/>
    <m/>
    <m/>
    <m/>
    <m/>
    <m/>
    <m/>
    <m/>
    <m/>
    <m/>
    <m/>
    <m/>
    <m/>
    <m/>
    <m/>
    <m/>
    <m/>
    <n v="1.6140165995146439E-2"/>
    <n v="0"/>
    <n v="4.8420497985439313E-2"/>
    <n v="1.9236606811328685E-2"/>
    <n v="0"/>
    <n v="5.7709820433986043E-2"/>
    <n v="1.7906342217882763E-2"/>
    <n v="0"/>
    <n v="5.3719026653648284E-2"/>
    <n v="0.11172195399"/>
    <n v="0"/>
    <n v="0.33516586196999998"/>
    <m/>
    <m/>
    <m/>
    <n v="1.2150223812885546E-3"/>
    <n v="0"/>
    <n v="3.6450671438656634E-3"/>
    <n v="2.9750140796692118E-6"/>
    <n v="0"/>
    <n v="8.925042239007634E-6"/>
    <m/>
    <m/>
    <m/>
    <m/>
    <m/>
    <m/>
    <m/>
    <x v="1"/>
    <n v="50"/>
    <s v="LKW"/>
  </r>
  <r>
    <x v="1"/>
    <s v="Mauerwerk, einschalig - Kalksandstein (KS) mit Dämmung"/>
    <m/>
    <s v="Hanf"/>
    <x v="4"/>
    <s v="Dämmung Hanf, Außenwand"/>
    <s v="Hanfvlies"/>
    <m/>
    <m/>
    <m/>
    <m/>
    <m/>
    <m/>
    <m/>
    <m/>
    <m/>
    <m/>
    <m/>
    <m/>
    <m/>
    <m/>
    <m/>
    <m/>
    <m/>
    <m/>
    <m/>
    <n v="5.8017353442012878E-2"/>
    <n v="4.4756244083838499E-2"/>
    <n v="8.4539572158361609E-2"/>
    <n v="6.9147802862343649E-2"/>
    <n v="5.3342590779522241E-2"/>
    <n v="0.10075822702798645"/>
    <n v="6.4366040945362357E-2"/>
    <n v="4.9653803014993822E-2"/>
    <n v="9.3790516806099428E-2"/>
    <n v="0.40159513190999996"/>
    <n v="0.30980195890199996"/>
    <n v="0.58518147792599995"/>
    <m/>
    <m/>
    <m/>
    <n v="4.3675128840912902E-3"/>
    <n v="3.369224224870424E-3"/>
    <n v="6.3640902025330227E-3"/>
    <n v="1.0693969529621761E-5"/>
    <n v="8.2496336371367854E-6"/>
    <n v="1.5582641314591707E-5"/>
    <m/>
    <m/>
    <m/>
    <m/>
    <m/>
    <m/>
    <m/>
    <x v="1"/>
    <n v="50"/>
    <s v="LKW"/>
  </r>
  <r>
    <x v="1"/>
    <s v="Holzrahmenbau - Holzständerbauweise (HSB)"/>
    <m/>
    <s v="Referenz MiWo"/>
    <x v="8"/>
    <s v="Wandbauplatte"/>
    <s v="Holzfaserplatte"/>
    <m/>
    <m/>
    <m/>
    <m/>
    <m/>
    <m/>
    <m/>
    <m/>
    <m/>
    <m/>
    <m/>
    <m/>
    <m/>
    <m/>
    <m/>
    <m/>
    <m/>
    <m/>
    <m/>
    <n v="2.3643162079376674E-2"/>
    <n v="2.3643162079376674E-2"/>
    <n v="2.3643162079376674E-2"/>
    <n v="2.817902943713553E-2"/>
    <n v="2.817902943713553E-2"/>
    <n v="2.817902943713553E-2"/>
    <n v="2.6230371573222857E-2"/>
    <n v="2.6230371573222857E-2"/>
    <n v="2.6230371573222857E-2"/>
    <n v="0.16365756503399997"/>
    <n v="0.16365756503399997"/>
    <n v="0.16365756503399997"/>
    <m/>
    <m/>
    <m/>
    <n v="1.7798435963740447E-3"/>
    <n v="1.7798435963740447E-3"/>
    <n v="1.7798435963740447E-3"/>
    <n v="4.3579935977857095E-6"/>
    <n v="4.3579935977857095E-6"/>
    <n v="4.3579935977857095E-6"/>
    <m/>
    <m/>
    <m/>
    <m/>
    <m/>
    <m/>
    <m/>
    <x v="1"/>
    <n v="50"/>
    <s v="LKW"/>
  </r>
  <r>
    <x v="1"/>
    <s v="Holzrahmenbau - Holzständerbauweise (HSB)"/>
    <m/>
    <s v="Stroh"/>
    <x v="9"/>
    <s v="Wandbauplatte"/>
    <s v="Holzfaserplatte"/>
    <m/>
    <m/>
    <m/>
    <m/>
    <m/>
    <m/>
    <m/>
    <m/>
    <m/>
    <m/>
    <m/>
    <m/>
    <m/>
    <m/>
    <m/>
    <m/>
    <m/>
    <m/>
    <m/>
    <n v="2.3643162079376674E-2"/>
    <n v="2.3643162079376674E-2"/>
    <n v="2.3643162079376674E-2"/>
    <n v="2.817902943713553E-2"/>
    <n v="2.817902943713553E-2"/>
    <n v="2.817902943713553E-2"/>
    <n v="2.6230371573222857E-2"/>
    <n v="2.6230371573222857E-2"/>
    <n v="2.6230371573222857E-2"/>
    <n v="0.16365756503399997"/>
    <n v="0.16365756503399997"/>
    <n v="0.16365756503399997"/>
    <m/>
    <m/>
    <m/>
    <n v="1.7798435963740447E-3"/>
    <n v="1.7798435963740447E-3"/>
    <n v="1.7798435963740447E-3"/>
    <n v="4.3579935977857095E-6"/>
    <n v="4.3579935977857095E-6"/>
    <n v="4.3579935977857095E-6"/>
    <m/>
    <m/>
    <m/>
    <m/>
    <m/>
    <m/>
    <m/>
    <x v="1"/>
    <n v="50"/>
    <s v="LKW"/>
  </r>
  <r>
    <x v="1"/>
    <s v="Holzrahmenbau - Holzständerbauweise (HSB)"/>
    <m/>
    <s v="Stroh"/>
    <x v="9"/>
    <s v="Dämmung"/>
    <s v="Stroh"/>
    <m/>
    <m/>
    <m/>
    <m/>
    <m/>
    <m/>
    <m/>
    <m/>
    <m/>
    <m/>
    <m/>
    <m/>
    <m/>
    <m/>
    <m/>
    <m/>
    <m/>
    <m/>
    <m/>
    <n v="0.16750874978746574"/>
    <n v="0.13959062482288812"/>
    <n v="0.223344999716621"/>
    <n v="0.19964478420405984"/>
    <n v="0.1663706535033832"/>
    <n v="0.26619304560541313"/>
    <n v="0.18583879490991839"/>
    <n v="0.15486566242493199"/>
    <n v="0.24778505987989119"/>
    <n v="1.1594927116799998"/>
    <n v="0.9662439263999999"/>
    <n v="1.54599028224"/>
    <m/>
    <m/>
    <m/>
    <n v="1.2609962011210942E-2"/>
    <n v="1.050830167600912E-2"/>
    <n v="1.6813282681614593E-2"/>
    <n v="3.0875821799810194E-5"/>
    <n v="2.5729851499841828E-5"/>
    <n v="4.1167762399746932E-5"/>
    <m/>
    <m/>
    <m/>
    <m/>
    <m/>
    <m/>
    <m/>
    <x v="1"/>
    <n v="50"/>
    <s v="LKW"/>
  </r>
  <r>
    <x v="1"/>
    <s v="Mauerwerk, einschalig - Kalksandstein (KS) mit Dämmung"/>
    <m/>
    <s v="Zellulose"/>
    <x v="5"/>
    <s v="Dämmung Hanf, Außenwand"/>
    <s v="Zellulosefaserplatten"/>
    <m/>
    <m/>
    <m/>
    <m/>
    <m/>
    <m/>
    <m/>
    <m/>
    <m/>
    <m/>
    <m/>
    <m/>
    <m/>
    <m/>
    <m/>
    <m/>
    <m/>
    <m/>
    <m/>
    <n v="8.3754374893732872E-2"/>
    <n v="5.583624992915525E-2"/>
    <n v="0.13959062482288812"/>
    <n v="9.9822392102029922E-2"/>
    <n v="6.6548261401353281E-2"/>
    <n v="0.1663706535033832"/>
    <n v="9.2919397454959196E-2"/>
    <n v="6.1946264969972797E-2"/>
    <n v="0.15486566242493199"/>
    <n v="0.57974635583999989"/>
    <n v="0.38649757056"/>
    <n v="0.9662439263999999"/>
    <m/>
    <m/>
    <m/>
    <n v="6.3049810056054712E-3"/>
    <n v="4.2033206704036484E-3"/>
    <n v="1.050830167600912E-2"/>
    <n v="1.5437910899905097E-5"/>
    <n v="1.0291940599936733E-5"/>
    <n v="2.5729851499841828E-5"/>
    <m/>
    <m/>
    <m/>
    <m/>
    <m/>
    <m/>
    <m/>
    <x v="1"/>
    <n v="50"/>
    <s v="LKW"/>
  </r>
  <r>
    <x v="1"/>
    <s v="Holzrahmenbau - Holzständerbauweise (HSB)"/>
    <m/>
    <s v="Referenz MiWo"/>
    <x v="8"/>
    <s v="Konstruktionsvollholz"/>
    <s v="Konstruktionsvollholz"/>
    <m/>
    <m/>
    <m/>
    <m/>
    <m/>
    <m/>
    <m/>
    <m/>
    <m/>
    <m/>
    <m/>
    <m/>
    <m/>
    <m/>
    <m/>
    <m/>
    <m/>
    <m/>
    <m/>
    <n v="0.1032098182284229"/>
    <n v="0.1032098182284229"/>
    <n v="0.1032098182284229"/>
    <n v="0.12301030193406395"/>
    <n v="0.12301030193406395"/>
    <n v="0.12301030193406395"/>
    <n v="0.1145037991554341"/>
    <n v="0.1145037991554341"/>
    <n v="0.1145037991554341"/>
    <n v="0.71441660308199995"/>
    <n v="0.71441660308199995"/>
    <n v="0.71441660308199995"/>
    <m/>
    <m/>
    <m/>
    <n v="7.7695755516992426E-3"/>
    <n v="7.7695755516992426E-3"/>
    <n v="7.7695755516992426E-3"/>
    <n v="1.9024008952695555E-5"/>
    <n v="1.9024008952695555E-5"/>
    <n v="1.9024008952695555E-5"/>
    <m/>
    <m/>
    <m/>
    <m/>
    <m/>
    <m/>
    <m/>
    <x v="1"/>
    <n v="50"/>
    <s v="LKW"/>
  </r>
  <r>
    <x v="1"/>
    <s v="Holzrahmenbau - Holzständerbauweise (HSB)"/>
    <m/>
    <s v="Stroh"/>
    <x v="9"/>
    <s v="Konstruktionsvollholz"/>
    <s v="Konstruktionsvollholz"/>
    <m/>
    <m/>
    <m/>
    <m/>
    <m/>
    <m/>
    <m/>
    <m/>
    <m/>
    <m/>
    <m/>
    <m/>
    <m/>
    <m/>
    <m/>
    <m/>
    <m/>
    <m/>
    <m/>
    <n v="0.2064196364568458"/>
    <n v="0.2064196364568458"/>
    <n v="0.2064196364568458"/>
    <n v="0.24602060386812791"/>
    <n v="0.24602060386812791"/>
    <n v="0.24602060386812791"/>
    <n v="0.2290075983108682"/>
    <n v="0.2290075983108682"/>
    <n v="0.2290075983108682"/>
    <n v="1.4288332061639999"/>
    <n v="1.4288332061639999"/>
    <n v="1.4288332061639999"/>
    <m/>
    <m/>
    <m/>
    <n v="1.5539151103398485E-2"/>
    <n v="1.5539151103398485E-2"/>
    <n v="1.5539151103398485E-2"/>
    <n v="3.8048017905391111E-5"/>
    <n v="3.8048017905391111E-5"/>
    <n v="3.8048017905391111E-5"/>
    <m/>
    <m/>
    <m/>
    <m/>
    <m/>
    <m/>
    <m/>
    <x v="1"/>
    <n v="50"/>
    <s v="LKW"/>
  </r>
  <r>
    <x v="2"/>
    <s v="Holzdecke"/>
    <m/>
    <s v="Referenz MiWo"/>
    <x v="12"/>
    <s v="Konstruktionsvollholz"/>
    <s v="Konstruktionsvollholz"/>
    <m/>
    <m/>
    <m/>
    <m/>
    <m/>
    <m/>
    <m/>
    <m/>
    <m/>
    <m/>
    <m/>
    <m/>
    <m/>
    <m/>
    <m/>
    <m/>
    <m/>
    <m/>
    <m/>
    <n v="0.4128392729136916"/>
    <n v="0.4128392729136916"/>
    <n v="0.4128392729136916"/>
    <n v="0.49204120773625581"/>
    <n v="0.49204120773625581"/>
    <n v="0.49204120773625581"/>
    <n v="0.4580151966217364"/>
    <n v="0.4580151966217364"/>
    <n v="0.4580151966217364"/>
    <n v="2.8576664123279998"/>
    <n v="2.8576664123279998"/>
    <n v="2.8576664123279998"/>
    <m/>
    <m/>
    <m/>
    <n v="3.1078302206796971E-2"/>
    <n v="3.1078302206796971E-2"/>
    <n v="3.1078302206796971E-2"/>
    <n v="7.6096035810782221E-5"/>
    <n v="7.6096035810782221E-5"/>
    <n v="7.6096035810782221E-5"/>
    <m/>
    <m/>
    <m/>
    <m/>
    <m/>
    <m/>
    <m/>
    <x v="1"/>
    <n v="50"/>
    <s v="LKW"/>
  </r>
  <r>
    <x v="2"/>
    <s v="Metalldecke"/>
    <m/>
    <s v="Referenz XPS"/>
    <x v="13"/>
    <s v="Stahl verzinkt"/>
    <s v="Stahlprofil"/>
    <m/>
    <m/>
    <m/>
    <m/>
    <m/>
    <m/>
    <m/>
    <m/>
    <m/>
    <m/>
    <m/>
    <m/>
    <m/>
    <m/>
    <m/>
    <m/>
    <m/>
    <m/>
    <m/>
    <n v="5.3044437432697482E-2"/>
    <n v="5.3044437432697482E-2"/>
    <n v="5.3044437432697482E-2"/>
    <n v="6.322084833128562E-2"/>
    <n v="6.322084833128562E-2"/>
    <n v="6.322084833128562E-2"/>
    <n v="5.8848951721474155E-2"/>
    <n v="5.8848951721474155E-2"/>
    <n v="5.8848951721474155E-2"/>
    <n v="0.36717269203199998"/>
    <n v="0.36717269203199998"/>
    <n v="0.36717269203199998"/>
    <m/>
    <m/>
    <m/>
    <n v="3.9931546368834657E-3"/>
    <n v="3.9931546368834657E-3"/>
    <n v="3.9931546368834657E-3"/>
    <n v="9.7773435699398961E-6"/>
    <n v="9.7773435699398961E-6"/>
    <n v="9.7773435699398961E-6"/>
    <m/>
    <m/>
    <m/>
    <m/>
    <m/>
    <m/>
    <m/>
    <x v="1"/>
    <n v="50"/>
    <s v="LKW"/>
  </r>
  <r>
    <x v="1"/>
    <s v="Stampflehmwand"/>
    <m/>
    <s v="-"/>
    <x v="11"/>
    <s v="Stampflehmwand"/>
    <s v="Stampflehmwand"/>
    <m/>
    <m/>
    <m/>
    <m/>
    <m/>
    <m/>
    <m/>
    <m/>
    <m/>
    <m/>
    <m/>
    <m/>
    <m/>
    <m/>
    <m/>
    <m/>
    <m/>
    <m/>
    <m/>
    <n v="5.2346484308583046"/>
    <n v="5.2346484308583046"/>
    <n v="5.2346484308583046"/>
    <n v="6.2388995063768702"/>
    <n v="6.2388995063768702"/>
    <n v="6.2388995063768702"/>
    <n v="5.8074623409349497"/>
    <n v="5.8074623409349497"/>
    <n v="5.8074623409349497"/>
    <n v="36.234147239999999"/>
    <n v="36.234147239999999"/>
    <n v="36.234147239999999"/>
    <m/>
    <m/>
    <m/>
    <n v="0.39406131285034196"/>
    <n v="0.39406131285034196"/>
    <n v="0.39406131285034196"/>
    <n v="9.6486943124406881E-4"/>
    <n v="9.6486943124406881E-4"/>
    <n v="9.6486943124406881E-4"/>
    <m/>
    <m/>
    <m/>
    <m/>
    <m/>
    <m/>
    <m/>
    <x v="1"/>
    <n v="50"/>
    <s v="LKW"/>
  </r>
  <r>
    <x v="1"/>
    <s v="Pfosten/Riegelsystem aus Aluminium"/>
    <m/>
    <s v="Referenz"/>
    <x v="10"/>
    <s v="Dreifachverglasung"/>
    <s v="Dreifachverglasung"/>
    <m/>
    <m/>
    <m/>
    <m/>
    <m/>
    <m/>
    <m/>
    <m/>
    <m/>
    <m/>
    <m/>
    <m/>
    <m/>
    <m/>
    <m/>
    <m/>
    <m/>
    <m/>
    <m/>
    <n v="0.23992138641433894"/>
    <n v="0.23992138641433894"/>
    <n v="0.23992138641433894"/>
    <n v="0.2859495607089399"/>
    <n v="0.2859495607089399"/>
    <n v="0.2859495607089399"/>
    <n v="0.26617535729285186"/>
    <n v="0.26617535729285186"/>
    <n v="0.26617535729285186"/>
    <n v="1.6607317484999997"/>
    <n v="1.6607317484999997"/>
    <n v="1.6607317484999997"/>
    <m/>
    <m/>
    <m/>
    <n v="1.8061143505640673E-2"/>
    <n v="1.8061143505640673E-2"/>
    <n v="1.8061143505640673E-2"/>
    <n v="4.422318226535314E-5"/>
    <n v="4.422318226535314E-5"/>
    <n v="4.422318226535314E-5"/>
    <m/>
    <m/>
    <m/>
    <m/>
    <m/>
    <m/>
    <m/>
    <x v="1"/>
    <n v="50"/>
    <s v="LKW"/>
  </r>
  <r>
    <x v="2"/>
    <s v="Metalldecke"/>
    <m/>
    <s v="Referenz XPS"/>
    <x v="13"/>
    <s v="Stahl verzinkt"/>
    <s v="Stahlprofil"/>
    <m/>
    <m/>
    <m/>
    <m/>
    <m/>
    <m/>
    <m/>
    <m/>
    <m/>
    <m/>
    <m/>
    <m/>
    <m/>
    <m/>
    <m/>
    <m/>
    <m/>
    <m/>
    <m/>
    <n v="2.6173242154291523E-2"/>
    <n v="2.6173242154291523E-2"/>
    <n v="2.6173242154291523E-2"/>
    <n v="3.1194497531884351E-2"/>
    <n v="3.1194497531884351E-2"/>
    <n v="3.1194497531884351E-2"/>
    <n v="2.9037311704674749E-2"/>
    <n v="2.9037311704674749E-2"/>
    <n v="2.9037311704674749E-2"/>
    <n v="0.18117073619999999"/>
    <n v="0.18117073619999999"/>
    <n v="0.18117073619999999"/>
    <m/>
    <m/>
    <m/>
    <n v="1.9703065642517098E-3"/>
    <n v="1.9703065642517098E-3"/>
    <n v="1.9703065642517098E-3"/>
    <n v="4.8243471562203438E-6"/>
    <n v="4.8243471562203438E-6"/>
    <n v="4.8243471562203438E-6"/>
    <m/>
    <m/>
    <m/>
    <m/>
    <m/>
    <m/>
    <m/>
    <x v="1"/>
    <n v="50"/>
    <s v="LKW"/>
  </r>
  <r>
    <x v="2"/>
    <s v="Metalldecke"/>
    <m/>
    <s v="Referenz XPS"/>
    <x v="13"/>
    <s v="Dämmung, Metalldecke"/>
    <s v="Extrudierter Polystyrol Dämmstoff (XPS)"/>
    <m/>
    <m/>
    <m/>
    <m/>
    <m/>
    <m/>
    <m/>
    <m/>
    <m/>
    <m/>
    <m/>
    <m/>
    <m/>
    <m/>
    <m/>
    <m/>
    <m/>
    <m/>
    <m/>
    <n v="3.9085374950408674E-2"/>
    <n v="2.7918124964577625E-2"/>
    <n v="6.1419874922070773E-2"/>
    <n v="4.65837829809473E-2"/>
    <n v="3.3274130700676641E-2"/>
    <n v="7.3203087541488604E-2"/>
    <n v="4.3362385478980962E-2"/>
    <n v="3.0973132484986399E-2"/>
    <n v="6.8140891466970083E-2"/>
    <n v="0.27054829939199998"/>
    <n v="0.19324878528"/>
    <n v="0.42514732761599994"/>
    <m/>
    <m/>
    <m/>
    <n v="2.9423244692825539E-3"/>
    <n v="2.1016603352018242E-3"/>
    <n v="4.6236527374440128E-3"/>
    <n v="7.2043584199557124E-6"/>
    <n v="5.1459702999683665E-6"/>
    <n v="1.1321134659930405E-5"/>
    <m/>
    <m/>
    <m/>
    <m/>
    <m/>
    <m/>
    <m/>
    <x v="1"/>
    <n v="50"/>
    <s v="LKW"/>
  </r>
  <r>
    <x v="2"/>
    <s v="Metalldecke"/>
    <m/>
    <s v="Referenz XPS"/>
    <x v="13"/>
    <s v="Gipskartonfaserplatte"/>
    <s v="Trockenestrich (Gipsfaserplatte, 25 mm)"/>
    <m/>
    <m/>
    <m/>
    <m/>
    <m/>
    <m/>
    <m/>
    <m/>
    <m/>
    <m/>
    <m/>
    <m/>
    <m/>
    <m/>
    <m/>
    <m/>
    <m/>
    <m/>
    <m/>
    <n v="0.12868510725859997"/>
    <n v="0.12868510725859997"/>
    <n v="0.12868510725859997"/>
    <n v="0.15337294619843139"/>
    <n v="0.15337294619843139"/>
    <n v="0.15337294619843139"/>
    <n v="0.14276678254798419"/>
    <n v="0.14276678254798419"/>
    <n v="0.14276678254798419"/>
    <n v="0.8907561196499999"/>
    <n v="0.8907561196499999"/>
    <n v="0.8907561196499999"/>
    <m/>
    <m/>
    <m/>
    <n v="9.6873406075709077E-3"/>
    <n v="9.6873406075709077E-3"/>
    <n v="9.6873406075709077E-3"/>
    <n v="2.3719706851416687E-5"/>
    <n v="2.3719706851416687E-5"/>
    <n v="2.3719706851416687E-5"/>
    <m/>
    <m/>
    <m/>
    <m/>
    <m/>
    <m/>
    <m/>
    <x v="1"/>
    <n v="50"/>
    <s v="LKW"/>
  </r>
  <r>
    <x v="2"/>
    <s v="Stahlbetondecke"/>
    <m/>
    <s v="Referenz EPS"/>
    <x v="14"/>
    <s v="Bodenbelag"/>
    <s v="Linoleum"/>
    <m/>
    <m/>
    <m/>
    <m/>
    <m/>
    <m/>
    <m/>
    <m/>
    <m/>
    <m/>
    <m/>
    <m/>
    <m/>
    <m/>
    <m/>
    <m/>
    <m/>
    <m/>
    <m/>
    <n v="2.6173242154291523E-2"/>
    <n v="2.6173242154291523E-2"/>
    <n v="2.6173242154291523E-2"/>
    <n v="3.1194497531884351E-2"/>
    <n v="3.1194497531884351E-2"/>
    <n v="3.1194497531884351E-2"/>
    <n v="2.9037311704674749E-2"/>
    <n v="2.9037311704674749E-2"/>
    <n v="2.9037311704674749E-2"/>
    <n v="0.18117073619999999"/>
    <n v="0.18117073619999999"/>
    <n v="0.18117073619999999"/>
    <m/>
    <m/>
    <m/>
    <n v="1.9703065642517098E-3"/>
    <n v="1.9703065642517098E-3"/>
    <n v="1.9703065642517098E-3"/>
    <n v="4.8243471562203438E-6"/>
    <n v="4.8243471562203438E-6"/>
    <n v="4.8243471562203438E-6"/>
    <m/>
    <m/>
    <m/>
    <m/>
    <m/>
    <m/>
    <m/>
    <x v="1"/>
    <n v="50"/>
    <s v="LKW"/>
  </r>
  <r>
    <x v="2"/>
    <s v="Stahlbetondecke"/>
    <m/>
    <s v="Referenz EPS"/>
    <x v="14"/>
    <s v="Estrich"/>
    <s v="Zementestrich"/>
    <m/>
    <m/>
    <m/>
    <m/>
    <m/>
    <m/>
    <m/>
    <m/>
    <m/>
    <m/>
    <m/>
    <m/>
    <m/>
    <m/>
    <m/>
    <m/>
    <m/>
    <m/>
    <m/>
    <n v="1.1516226547888269"/>
    <n v="1.1516226547888269"/>
    <n v="1.1516226547888269"/>
    <n v="1.3725578914029115"/>
    <n v="1.3725578914029115"/>
    <n v="1.3725578914029115"/>
    <n v="1.2776417150056889"/>
    <n v="1.2776417150056889"/>
    <n v="1.2776417150056889"/>
    <n v="7.9715123927999993"/>
    <n v="7.9715123927999993"/>
    <n v="7.9715123927999993"/>
    <m/>
    <m/>
    <m/>
    <n v="8.6693488827075241E-2"/>
    <n v="8.6693488827075241E-2"/>
    <n v="8.6693488827075241E-2"/>
    <n v="2.1227127487369511E-4"/>
    <n v="2.1227127487369511E-4"/>
    <n v="2.1227127487369511E-4"/>
    <m/>
    <m/>
    <m/>
    <m/>
    <m/>
    <m/>
    <m/>
    <x v="1"/>
    <n v="50"/>
    <s v="LKW"/>
  </r>
  <r>
    <x v="2"/>
    <s v="Stahlbetondecke"/>
    <m/>
    <s v="Referenz EPS"/>
    <x v="14"/>
    <s v="Dämmung, Betondecke"/>
    <s v="Expandiertes Polystyrol (EPS)"/>
    <m/>
    <m/>
    <m/>
    <m/>
    <m/>
    <m/>
    <m/>
    <m/>
    <m/>
    <m/>
    <m/>
    <m/>
    <m/>
    <m/>
    <m/>
    <m/>
    <m/>
    <m/>
    <m/>
    <n v="1.7448828102861014E-2"/>
    <n v="8.7244140514305072E-3"/>
    <n v="3.4897656205722029E-2"/>
    <n v="2.07963316879229E-2"/>
    <n v="1.039816584396145E-2"/>
    <n v="4.1592663375845801E-2"/>
    <n v="1.9358207803116499E-2"/>
    <n v="9.6791039015582496E-3"/>
    <n v="3.8716415606232998E-2"/>
    <n v="0.12078049079999999"/>
    <n v="6.0390245399999994E-2"/>
    <n v="0.24156098159999997"/>
    <m/>
    <m/>
    <m/>
    <n v="1.31353770950114E-3"/>
    <n v="6.5676885475056998E-4"/>
    <n v="2.6270754190022799E-3"/>
    <n v="3.2162314374802285E-6"/>
    <n v="1.6081157187401143E-6"/>
    <n v="6.4324628749604571E-6"/>
    <m/>
    <m/>
    <m/>
    <m/>
    <m/>
    <m/>
    <m/>
    <x v="1"/>
    <n v="50"/>
    <s v="LKW"/>
  </r>
  <r>
    <x v="2"/>
    <s v="Stahlbetondecke"/>
    <m/>
    <s v="Referenz EPS"/>
    <x v="14"/>
    <s v="Dampfbremse"/>
    <s v="PE Folie"/>
    <m/>
    <m/>
    <m/>
    <m/>
    <m/>
    <m/>
    <m/>
    <m/>
    <m/>
    <m/>
    <m/>
    <m/>
    <m/>
    <m/>
    <m/>
    <m/>
    <m/>
    <m/>
    <m/>
    <n v="2.4428359344005422E-3"/>
    <n v="2.4428359344005422E-3"/>
    <n v="2.4428359344005422E-3"/>
    <n v="2.9114864363092062E-3"/>
    <n v="2.9114864363092062E-3"/>
    <n v="2.9114864363092062E-3"/>
    <n v="2.7101490924363101E-3"/>
    <n v="2.7101490924363101E-3"/>
    <n v="2.7101490924363101E-3"/>
    <n v="1.6909268711999999E-2"/>
    <n v="1.6909268711999999E-2"/>
    <n v="1.6909268711999999E-2"/>
    <m/>
    <m/>
    <m/>
    <n v="1.8389527933015962E-4"/>
    <n v="1.8389527933015962E-4"/>
    <n v="1.8389527933015962E-4"/>
    <n v="4.5027240124723203E-7"/>
    <n v="4.5027240124723203E-7"/>
    <n v="4.5027240124723203E-7"/>
    <m/>
    <m/>
    <m/>
    <m/>
    <m/>
    <m/>
    <m/>
    <x v="1"/>
    <n v="50"/>
    <s v="LKW"/>
  </r>
  <r>
    <x v="2"/>
    <s v="Stahlbetondecke"/>
    <m/>
    <s v="Referenz EPS"/>
    <x v="14"/>
    <s v="Beton C30/37"/>
    <s v="Beton C30/37"/>
    <m/>
    <m/>
    <m/>
    <m/>
    <m/>
    <m/>
    <m/>
    <m/>
    <m/>
    <m/>
    <m/>
    <m/>
    <m/>
    <m/>
    <m/>
    <m/>
    <m/>
    <m/>
    <m/>
    <n v="4.0783145924817044"/>
    <n v="4.0783145924817044"/>
    <n v="4.0783145924817044"/>
    <n v="4.8607266054182192"/>
    <n v="4.8607266054182192"/>
    <n v="4.8607266054182192"/>
    <n v="4.5245939098224195"/>
    <n v="4.5245939098224195"/>
    <n v="4.5245939098224195"/>
    <n v="28.230024114683996"/>
    <n v="28.230024114683996"/>
    <n v="28.230024114683996"/>
    <m/>
    <m/>
    <m/>
    <n v="0.30701316884170143"/>
    <n v="0.30701316884170143"/>
    <n v="0.30701316884170143"/>
    <n v="7.5172977388225377E-4"/>
    <n v="7.5172977388225377E-4"/>
    <n v="7.5172977388225377E-4"/>
    <m/>
    <m/>
    <m/>
    <m/>
    <m/>
    <m/>
    <m/>
    <x v="1"/>
    <n v="50"/>
    <s v="LKW"/>
  </r>
  <r>
    <x v="2"/>
    <s v="Stahlbetondecke"/>
    <m/>
    <s v="Referenz EPS"/>
    <x v="14"/>
    <s v="Bewehrung"/>
    <s v="Bewehrungsstahl"/>
    <m/>
    <m/>
    <m/>
    <m/>
    <m/>
    <m/>
    <m/>
    <m/>
    <m/>
    <m/>
    <m/>
    <m/>
    <m/>
    <m/>
    <m/>
    <m/>
    <m/>
    <m/>
    <m/>
    <n v="0.13173865217660066"/>
    <n v="0.13173865217660066"/>
    <n v="0.13173865217660066"/>
    <n v="0.1570123042438179"/>
    <n v="0.1570123042438179"/>
    <n v="0.1570123042438179"/>
    <n v="0.14615446891352957"/>
    <n v="0.14615446891352957"/>
    <n v="0.14615446891352957"/>
    <n v="0.9118927055399999"/>
    <n v="0.9118927055399999"/>
    <n v="0.9118927055399999"/>
    <m/>
    <m/>
    <m/>
    <n v="9.9172097067336071E-3"/>
    <n v="9.9172097067336071E-3"/>
    <n v="9.9172097067336071E-3"/>
    <n v="2.4282547352975728E-5"/>
    <n v="2.4282547352975728E-5"/>
    <n v="2.4282547352975728E-5"/>
    <m/>
    <m/>
    <m/>
    <m/>
    <m/>
    <m/>
    <m/>
    <x v="1"/>
    <n v="50"/>
    <s v="LKW"/>
  </r>
  <r>
    <x v="3"/>
    <s v="Flachdach - Stahlbeton"/>
    <m/>
    <s v="Referenz PIR"/>
    <x v="15"/>
    <s v="Bewehrung"/>
    <s v="Bewehrungsstahl"/>
    <m/>
    <m/>
    <m/>
    <m/>
    <m/>
    <m/>
    <m/>
    <m/>
    <m/>
    <m/>
    <m/>
    <m/>
    <m/>
    <m/>
    <m/>
    <m/>
    <m/>
    <m/>
    <m/>
    <n v="0.13173865217660066"/>
    <n v="0.13173865217660066"/>
    <n v="0.13173865217660066"/>
    <n v="0.1570123042438179"/>
    <n v="0.1570123042438179"/>
    <n v="0.1570123042438179"/>
    <n v="0.14615446891352957"/>
    <n v="0.14615446891352957"/>
    <n v="0.14615446891352957"/>
    <n v="0.9118927055399999"/>
    <n v="0.9118927055399999"/>
    <n v="0.9118927055399999"/>
    <m/>
    <m/>
    <m/>
    <n v="9.9172097067336071E-3"/>
    <n v="9.9172097067336071E-3"/>
    <n v="9.9172097067336071E-3"/>
    <n v="2.4282547352975728E-5"/>
    <n v="2.4282547352975728E-5"/>
    <n v="2.4282547352975728E-5"/>
    <m/>
    <m/>
    <m/>
    <m/>
    <m/>
    <m/>
    <m/>
    <x v="1"/>
    <n v="50"/>
    <s v="LKW"/>
  </r>
  <r>
    <x v="3"/>
    <s v="Flachdach - Stahlbeton"/>
    <m/>
    <s v="Referenz PIR"/>
    <x v="15"/>
    <s v="Beton, C20/25"/>
    <s v="Beton C20/25"/>
    <m/>
    <m/>
    <m/>
    <m/>
    <m/>
    <m/>
    <m/>
    <m/>
    <m/>
    <m/>
    <m/>
    <m/>
    <m/>
    <m/>
    <m/>
    <m/>
    <m/>
    <m/>
    <m/>
    <n v="4.0783145924817044"/>
    <n v="4.0783145924817044"/>
    <n v="4.0783145924817044"/>
    <n v="4.8607266054182192"/>
    <n v="4.8607266054182192"/>
    <n v="4.8607266054182192"/>
    <n v="4.5245939098224195"/>
    <n v="4.5245939098224195"/>
    <n v="4.5245939098224195"/>
    <n v="28.230024114683996"/>
    <n v="28.230024114683996"/>
    <n v="28.230024114683996"/>
    <m/>
    <m/>
    <m/>
    <n v="0.30701316884170143"/>
    <n v="0.30701316884170143"/>
    <n v="0.30701316884170143"/>
    <n v="7.5172977388225377E-4"/>
    <n v="7.5172977388225377E-4"/>
    <n v="7.5172977388225377E-4"/>
    <m/>
    <m/>
    <m/>
    <m/>
    <m/>
    <m/>
    <m/>
    <x v="1"/>
    <n v="50"/>
    <s v="LKW"/>
  </r>
  <r>
    <x v="3"/>
    <s v="Flachdach - Stahlbeton"/>
    <m/>
    <s v="Referenz PIR"/>
    <x v="15"/>
    <s v="Dampfbremse"/>
    <s v="PE Folie"/>
    <m/>
    <m/>
    <m/>
    <m/>
    <m/>
    <m/>
    <m/>
    <m/>
    <m/>
    <m/>
    <m/>
    <m/>
    <m/>
    <m/>
    <m/>
    <m/>
    <m/>
    <m/>
    <m/>
    <n v="2.4428359344005422E-3"/>
    <n v="2.4428359344005422E-3"/>
    <n v="2.4428359344005422E-3"/>
    <n v="2.9114864363092062E-3"/>
    <n v="2.9114864363092062E-3"/>
    <n v="2.9114864363092062E-3"/>
    <n v="2.7101490924363101E-3"/>
    <n v="2.7101490924363101E-3"/>
    <n v="2.7101490924363101E-3"/>
    <n v="1.6909268711999999E-2"/>
    <n v="1.6909268711999999E-2"/>
    <n v="1.6909268711999999E-2"/>
    <m/>
    <m/>
    <m/>
    <n v="1.8389527933015962E-4"/>
    <n v="1.8389527933015962E-4"/>
    <n v="1.8389527933015962E-4"/>
    <n v="4.5027240124723203E-7"/>
    <n v="4.5027240124723203E-7"/>
    <n v="4.5027240124723203E-7"/>
    <m/>
    <m/>
    <m/>
    <m/>
    <m/>
    <m/>
    <m/>
    <x v="1"/>
    <n v="50"/>
    <s v="LKW"/>
  </r>
  <r>
    <x v="3"/>
    <s v="Flachdach - Stahlbeton"/>
    <m/>
    <s v="Referenz PIR"/>
    <x v="15"/>
    <s v="Dämmung. Flachdach"/>
    <s v="PIR Hartschaum"/>
    <m/>
    <m/>
    <m/>
    <m/>
    <m/>
    <m/>
    <m/>
    <m/>
    <m/>
    <m/>
    <m/>
    <m/>
    <m/>
    <m/>
    <m/>
    <m/>
    <m/>
    <m/>
    <m/>
    <n v="3.1407890585149825E-2"/>
    <n v="2.0938593723433218E-2"/>
    <n v="5.2346484308583047E-2"/>
    <n v="3.7433397038261221E-2"/>
    <n v="2.4955598025507481E-2"/>
    <n v="6.2388995063768701E-2"/>
    <n v="3.4844774045609699E-2"/>
    <n v="2.3229849363739799E-2"/>
    <n v="5.8074623409349498E-2"/>
    <n v="0.21740488343999997"/>
    <n v="0.14493658895999997"/>
    <n v="0.36234147239999998"/>
    <m/>
    <m/>
    <m/>
    <n v="2.364367877102052E-3"/>
    <n v="1.5762452514013678E-3"/>
    <n v="3.9406131285034196E-3"/>
    <n v="5.7892165874644118E-6"/>
    <n v="3.8594777249762742E-6"/>
    <n v="9.6486943124406877E-6"/>
    <m/>
    <m/>
    <m/>
    <m/>
    <m/>
    <m/>
    <m/>
    <x v="1"/>
    <n v="50"/>
    <s v="LKW"/>
  </r>
  <r>
    <x v="3"/>
    <s v="Flachdach - Stahlbeton"/>
    <m/>
    <s v="Referenz PIR"/>
    <x v="15"/>
    <s v="Abdichtungsbahn"/>
    <s v="EPDM Dachbahn"/>
    <m/>
    <m/>
    <m/>
    <m/>
    <m/>
    <m/>
    <m/>
    <m/>
    <m/>
    <m/>
    <m/>
    <m/>
    <m/>
    <m/>
    <m/>
    <m/>
    <m/>
    <m/>
    <m/>
    <n v="5.0165380795725419E-2"/>
    <n v="5.0165380795725419E-2"/>
    <n v="5.0165380795725419E-2"/>
    <n v="5.978945360277834E-2"/>
    <n v="5.978945360277834E-2"/>
    <n v="5.978945360277834E-2"/>
    <n v="5.5654847433959938E-2"/>
    <n v="5.5654847433959938E-2"/>
    <n v="5.5654847433959938E-2"/>
    <n v="0.34724391104999996"/>
    <n v="0.34724391104999996"/>
    <n v="0.34724391104999996"/>
    <m/>
    <m/>
    <m/>
    <n v="3.7764209148157773E-3"/>
    <n v="3.7764209148157773E-3"/>
    <n v="3.7764209148157773E-3"/>
    <n v="9.2466653827556575E-6"/>
    <n v="9.2466653827556575E-6"/>
    <n v="9.2466653827556575E-6"/>
    <m/>
    <m/>
    <m/>
    <m/>
    <m/>
    <m/>
    <m/>
    <x v="1"/>
    <n v="50"/>
    <s v="LKW"/>
  </r>
  <r>
    <x v="3"/>
    <s v="Flachdach - Stahlbeton"/>
    <m/>
    <s v="Referenz PIR"/>
    <x v="15"/>
    <s v="Schwere Schutzschicht"/>
    <s v="Kies"/>
    <m/>
    <m/>
    <m/>
    <m/>
    <m/>
    <m/>
    <m/>
    <m/>
    <m/>
    <m/>
    <m/>
    <m/>
    <m/>
    <m/>
    <m/>
    <m/>
    <m/>
    <m/>
    <m/>
    <n v="0.64560663980585753"/>
    <n v="0.64560663980585753"/>
    <n v="0.64560663980585753"/>
    <n v="0.7694642724531473"/>
    <n v="0.7694642724531473"/>
    <n v="0.7694642724531473"/>
    <n v="0.71625368871531048"/>
    <n v="0.71625368871531048"/>
    <n v="0.71625368871531048"/>
    <n v="4.4688781595999991"/>
    <n v="4.4688781595999991"/>
    <n v="4.4688781595999991"/>
    <m/>
    <m/>
    <m/>
    <n v="4.8600895251542181E-2"/>
    <n v="4.8600895251542181E-2"/>
    <n v="4.8600895251542181E-2"/>
    <n v="1.1900056318676848E-4"/>
    <n v="1.1900056318676848E-4"/>
    <n v="1.1900056318676848E-4"/>
    <m/>
    <m/>
    <m/>
    <m/>
    <m/>
    <m/>
    <m/>
    <x v="1"/>
    <n v="50"/>
    <s v="LKW"/>
  </r>
  <r>
    <x v="3"/>
    <s v="Schrägdach - Holzkonstruktion"/>
    <m/>
    <s v="Referenz MiWo"/>
    <x v="16"/>
    <s v="Dampfbremse"/>
    <s v="PE Folie"/>
    <m/>
    <m/>
    <m/>
    <m/>
    <m/>
    <m/>
    <m/>
    <m/>
    <m/>
    <m/>
    <m/>
    <m/>
    <m/>
    <m/>
    <m/>
    <m/>
    <m/>
    <m/>
    <m/>
    <n v="2.4428359344005422E-3"/>
    <n v="2.4428359344005422E-3"/>
    <n v="2.4428359344005422E-3"/>
    <n v="2.9114864363092062E-3"/>
    <n v="2.9114864363092062E-3"/>
    <n v="2.9114864363092062E-3"/>
    <n v="2.7101490924363101E-3"/>
    <n v="2.7101490924363101E-3"/>
    <n v="2.7101490924363101E-3"/>
    <n v="1.6909268711999999E-2"/>
    <n v="1.6909268711999999E-2"/>
    <n v="1.6909268711999999E-2"/>
    <m/>
    <m/>
    <m/>
    <n v="1.8389527933015962E-4"/>
    <n v="1.8389527933015962E-4"/>
    <n v="1.8389527933015962E-4"/>
    <n v="4.5027240124723203E-7"/>
    <n v="4.5027240124723203E-7"/>
    <n v="4.5027240124723203E-7"/>
    <m/>
    <m/>
    <m/>
    <m/>
    <m/>
    <m/>
    <m/>
    <x v="1"/>
    <n v="50"/>
    <s v="LKW"/>
  </r>
  <r>
    <x v="3"/>
    <s v="Schrägdach - Holzkonstruktion"/>
    <m/>
    <s v="Referenz MiWo"/>
    <x v="16"/>
    <s v="Konstruktionsvollholz"/>
    <s v="Konstruktionsvollholz"/>
    <m/>
    <m/>
    <m/>
    <m/>
    <m/>
    <m/>
    <m/>
    <m/>
    <m/>
    <m/>
    <m/>
    <m/>
    <m/>
    <m/>
    <m/>
    <m/>
    <m/>
    <m/>
    <m/>
    <n v="1.7187095681318099E-2"/>
    <n v="1.7187095681318099E-2"/>
    <n v="1.7187095681318099E-2"/>
    <n v="2.0484386712604056E-2"/>
    <n v="2.0484386712604056E-2"/>
    <n v="2.0484386712604056E-2"/>
    <n v="1.9067834686069752E-2"/>
    <n v="1.9067834686069752E-2"/>
    <n v="1.9067834686069752E-2"/>
    <n v="0.11896878343799999"/>
    <n v="0.11896878343799999"/>
    <n v="0.11896878343799999"/>
    <m/>
    <m/>
    <m/>
    <n v="1.2938346438586229E-3"/>
    <n v="1.2938346438586229E-3"/>
    <n v="1.2938346438586229E-3"/>
    <n v="3.1679879659180256E-6"/>
    <n v="3.1679879659180256E-6"/>
    <n v="3.1679879659180256E-6"/>
    <m/>
    <m/>
    <m/>
    <m/>
    <m/>
    <m/>
    <m/>
    <x v="1"/>
    <n v="50"/>
    <s v="LKW"/>
  </r>
  <r>
    <x v="3"/>
    <s v="Schrägdach - Holzkonstruktion"/>
    <m/>
    <s v="Referenz MiWo"/>
    <x v="16"/>
    <s v="Dämmung, Schrägdach"/>
    <s v="Mineralwolle"/>
    <m/>
    <m/>
    <m/>
    <m/>
    <m/>
    <m/>
    <m/>
    <m/>
    <m/>
    <m/>
    <m/>
    <m/>
    <m/>
    <m/>
    <m/>
    <m/>
    <m/>
    <m/>
    <m/>
    <n v="4.6762859315667524E-2"/>
    <n v="3.1233402304121215E-2"/>
    <n v="7.7996261619788732E-2"/>
    <n v="5.5734168923633379E-2"/>
    <n v="3.7225433721381991E-2"/>
    <n v="9.2959602645015363E-2"/>
    <n v="5.1879996912352219E-2"/>
    <n v="3.4651191967578536E-2"/>
    <n v="8.6531188879930748E-2"/>
    <n v="0.32369171534399999"/>
    <n v="0.21619707853199999"/>
    <n v="0.53988879387599986"/>
    <m/>
    <m/>
    <m/>
    <n v="3.5202810614630552E-3"/>
    <n v="2.3512325000070405E-3"/>
    <n v="5.8715135614700953E-3"/>
    <n v="8.6195002524470139E-6"/>
    <n v="5.7570542730896093E-6"/>
    <n v="1.4376554525536621E-5"/>
    <m/>
    <m/>
    <m/>
    <m/>
    <m/>
    <m/>
    <m/>
    <x v="1"/>
    <n v="50"/>
    <s v="LKW"/>
  </r>
  <r>
    <x v="3"/>
    <s v="Schrägdach - Holzkonstruktion"/>
    <m/>
    <s v="Referenz MiWo"/>
    <x v="16"/>
    <s v="Unterspannbahn"/>
    <s v="Unterspannbahn PP"/>
    <m/>
    <m/>
    <m/>
    <m/>
    <m/>
    <m/>
    <m/>
    <m/>
    <m/>
    <m/>
    <m/>
    <m/>
    <m/>
    <m/>
    <m/>
    <m/>
    <m/>
    <m/>
    <m/>
    <n v="1.3086621077145761E-3"/>
    <n v="1.3086621077145761E-3"/>
    <n v="1.3086621077145761E-3"/>
    <n v="1.5597248765942175E-3"/>
    <n v="1.5597248765942175E-3"/>
    <n v="1.5597248765942175E-3"/>
    <n v="1.4518655852337374E-3"/>
    <n v="1.4518655852337374E-3"/>
    <n v="1.4518655852337374E-3"/>
    <n v="9.0585368099999983E-3"/>
    <n v="9.0585368099999983E-3"/>
    <n v="9.0585368099999983E-3"/>
    <m/>
    <m/>
    <m/>
    <n v="9.8515328212585488E-5"/>
    <n v="9.8515328212585488E-5"/>
    <n v="9.8515328212585488E-5"/>
    <n v="2.4121735781101714E-7"/>
    <n v="2.4121735781101714E-7"/>
    <n v="2.4121735781101714E-7"/>
    <m/>
    <m/>
    <m/>
    <m/>
    <m/>
    <m/>
    <m/>
    <x v="1"/>
    <n v="50"/>
    <s v="LKW"/>
  </r>
  <r>
    <x v="3"/>
    <s v="Schrägdach - Holzkonstruktion"/>
    <m/>
    <s v="Referenz MiWo"/>
    <x v="16"/>
    <s v="Dachziegel"/>
    <s v="Tondachziegel"/>
    <m/>
    <m/>
    <m/>
    <m/>
    <m/>
    <m/>
    <m/>
    <m/>
    <m/>
    <m/>
    <m/>
    <m/>
    <m/>
    <m/>
    <m/>
    <m/>
    <m/>
    <m/>
    <m/>
    <n v="0.39259863231437281"/>
    <n v="0.39259863231437281"/>
    <n v="0.39259863231437281"/>
    <n v="0.46791746297826525"/>
    <n v="0.46791746297826525"/>
    <n v="0.46791746297826525"/>
    <n v="0.43555967557012121"/>
    <n v="0.43555967557012121"/>
    <n v="0.43555967557012121"/>
    <n v="2.7175610429999999"/>
    <n v="2.7175610429999999"/>
    <n v="2.7175610429999999"/>
    <m/>
    <m/>
    <m/>
    <n v="2.9554598463775648E-2"/>
    <n v="2.9554598463775648E-2"/>
    <n v="2.9554598463775648E-2"/>
    <n v="7.2365207343305139E-5"/>
    <n v="7.2365207343305139E-5"/>
    <n v="7.2365207343305139E-5"/>
    <m/>
    <m/>
    <m/>
    <m/>
    <m/>
    <m/>
    <m/>
    <x v="1"/>
    <n v="50"/>
    <s v="LKW"/>
  </r>
  <r>
    <x v="1"/>
    <s v="Stampflehmwand"/>
    <m/>
    <s v="-"/>
    <x v="11"/>
    <s v="Stampflehmwand"/>
    <s v="Holzfaserplatte"/>
    <m/>
    <m/>
    <m/>
    <m/>
    <m/>
    <m/>
    <m/>
    <m/>
    <m/>
    <m/>
    <m/>
    <m/>
    <m/>
    <m/>
    <m/>
    <m/>
    <m/>
    <m/>
    <m/>
    <n v="0.13156416389557204"/>
    <n v="7.89559471654461E-2"/>
    <n v="0.23678059735582396"/>
    <n v="0.15680434092693868"/>
    <n v="9.410340088785113E-2"/>
    <n v="0.28220622100511378"/>
    <n v="0.1459608868354984"/>
    <n v="8.759589030910217E-2"/>
    <n v="0.26269087988829087"/>
    <n v="0.91068490063199992"/>
    <n v="0.54653172087000002"/>
    <n v="1.6389912601559999"/>
    <m/>
    <m/>
    <m/>
    <n v="9.9040743296385948E-3"/>
    <n v="5.9437581354926591E-3"/>
    <n v="1.7824706717930471E-2"/>
    <n v="2.4250385038600924E-5"/>
    <n v="1.4553447254598038E-5"/>
    <n v="4.3644260606606706E-5"/>
    <m/>
    <m/>
    <m/>
    <m/>
    <m/>
    <m/>
    <m/>
    <x v="1"/>
    <n v="50"/>
    <s v="LKW"/>
  </r>
  <r>
    <x v="1"/>
    <s v="Stampflehmwand"/>
    <m/>
    <s v="-"/>
    <x v="11"/>
    <s v="Stampflehmwand"/>
    <s v="Lehmputz"/>
    <m/>
    <m/>
    <m/>
    <m/>
    <m/>
    <m/>
    <m/>
    <m/>
    <m/>
    <m/>
    <m/>
    <m/>
    <m/>
    <m/>
    <m/>
    <m/>
    <m/>
    <m/>
    <m/>
    <n v="2.6173242154291519E-4"/>
    <n v="2.6173242154291519E-4"/>
    <n v="2.6173242154291519E-4"/>
    <n v="3.1194497531884352E-4"/>
    <n v="3.1194497531884352E-4"/>
    <n v="3.1194497531884352E-4"/>
    <n v="2.9037311704674748E-4"/>
    <n v="2.9037311704674748E-4"/>
    <n v="2.9037311704674748E-4"/>
    <n v="1.8117073619999997E-3"/>
    <n v="1.8117073619999997E-3"/>
    <n v="1.8117073619999997E-3"/>
    <m/>
    <m/>
    <m/>
    <n v="1.9703065642517098E-5"/>
    <n v="1.9703065642517098E-5"/>
    <n v="1.9703065642517098E-5"/>
    <n v="4.8243471562203427E-8"/>
    <n v="4.8243471562203427E-8"/>
    <n v="4.8243471562203427E-8"/>
    <m/>
    <m/>
    <m/>
    <m/>
    <m/>
    <m/>
    <m/>
    <x v="1"/>
    <n v="50"/>
    <s v="LKW"/>
  </r>
  <r>
    <x v="1"/>
    <s v="Außenwand Beton"/>
    <m/>
    <s v="konv. Beton"/>
    <x v="17"/>
    <m/>
    <s v="Beton C20/25"/>
    <m/>
    <m/>
    <m/>
    <m/>
    <m/>
    <m/>
    <m/>
    <m/>
    <m/>
    <m/>
    <m/>
    <m/>
    <m/>
    <m/>
    <m/>
    <m/>
    <m/>
    <m/>
    <m/>
    <n v="6.1768851484127989"/>
    <n v="6.1768851484127989"/>
    <n v="6.1768851484127989"/>
    <n v="7.3619014175247068"/>
    <n v="7.3619014175247068"/>
    <n v="7.3619014175247068"/>
    <n v="6.8528055623032404"/>
    <n v="6.8528055623032404"/>
    <n v="6.8528055623032404"/>
    <n v="42.756293743199997"/>
    <n v="42.756293743199997"/>
    <n v="42.756293743199997"/>
    <m/>
    <m/>
    <m/>
    <n v="0.46499234916340354"/>
    <n v="0.46499234916340354"/>
    <n v="0.46499234916340354"/>
    <n v="1.1385459288680011E-3"/>
    <n v="1.1385459288680011E-3"/>
    <n v="1.1385459288680011E-3"/>
    <m/>
    <s v="nein"/>
    <m/>
    <m/>
    <m/>
    <m/>
    <m/>
    <x v="1"/>
    <n v="50"/>
    <s v="LKW"/>
  </r>
  <r>
    <x v="5"/>
    <s v="Innenwand"/>
    <m/>
    <s v="Trockenbau"/>
    <x v="21"/>
    <s v="Verkleidung"/>
    <s v="Gipskartonplatte (12,5 mm)"/>
    <m/>
    <m/>
    <m/>
    <m/>
    <m/>
    <m/>
    <m/>
    <m/>
    <m/>
    <m/>
    <m/>
    <m/>
    <m/>
    <m/>
    <m/>
    <m/>
    <m/>
    <m/>
    <m/>
    <n v="0.87244140514305069"/>
    <n v="0.87244140514305069"/>
    <n v="0.87244140514305069"/>
    <n v="1.0398165843961451"/>
    <n v="1.0398165843961451"/>
    <n v="1.0398165843961451"/>
    <n v="0.96791039015582492"/>
    <n v="0.96791039015582492"/>
    <n v="0.96791039015582492"/>
    <n v="6.0390245399999998"/>
    <n v="6.0390245399999998"/>
    <n v="6.0390245399999998"/>
    <m/>
    <m/>
    <m/>
    <n v="6.5676885475056998E-2"/>
    <n v="6.5676885475056998E-2"/>
    <n v="6.5676885475056998E-2"/>
    <n v="1.6081157187401146E-4"/>
    <n v="1.6081157187401146E-4"/>
    <n v="1.6081157187401146E-4"/>
    <m/>
    <s v="nein"/>
    <m/>
    <m/>
    <m/>
    <m/>
    <m/>
    <x v="1"/>
    <n v="50"/>
    <s v="LKW"/>
  </r>
  <r>
    <x v="1"/>
    <s v="Außenwand Beton"/>
    <m/>
    <s v="konv. Beton"/>
    <x v="17"/>
    <m/>
    <s v="Mineralwolle"/>
    <m/>
    <m/>
    <m/>
    <m/>
    <m/>
    <m/>
    <m/>
    <m/>
    <m/>
    <m/>
    <m/>
    <m/>
    <m/>
    <m/>
    <m/>
    <m/>
    <m/>
    <m/>
    <m/>
    <n v="4.0306792917608941E-2"/>
    <n v="2.4253871062976808E-2"/>
    <n v="7.2587124907901826E-2"/>
    <n v="4.8039526199101901E-2"/>
    <n v="2.8906901046212831E-2"/>
    <n v="8.6512739821759263E-2"/>
    <n v="4.4717460025199114E-2"/>
    <n v="2.6907908846331933E-2"/>
    <n v="8.0530144460964639E-2"/>
    <n v="0.279002933748"/>
    <n v="0.16788488221199996"/>
    <n v="0.50244684172799992"/>
    <m/>
    <m/>
    <m/>
    <n v="3.0342721089476332E-3"/>
    <n v="1.8258174162065844E-3"/>
    <n v="5.4643168715247424E-3"/>
    <n v="7.4294946205793283E-6"/>
    <n v="4.470561698097517E-6"/>
    <n v="1.3379522779917751E-5"/>
    <m/>
    <s v="ja"/>
    <m/>
    <m/>
    <m/>
    <m/>
    <m/>
    <x v="1"/>
    <n v="50"/>
    <s v="LKW"/>
  </r>
  <r>
    <x v="1"/>
    <s v="Außenwand Beton"/>
    <m/>
    <s v="R-Beton"/>
    <x v="18"/>
    <m/>
    <s v="Mineralwolle"/>
    <m/>
    <m/>
    <m/>
    <m/>
    <m/>
    <m/>
    <m/>
    <m/>
    <m/>
    <m/>
    <m/>
    <m/>
    <m/>
    <m/>
    <m/>
    <m/>
    <m/>
    <m/>
    <m/>
    <n v="4.0306792917608941E-2"/>
    <n v="2.4253871062976808E-2"/>
    <n v="7.2587124907901826E-2"/>
    <n v="4.8039526199101901E-2"/>
    <n v="2.8906901046212831E-2"/>
    <n v="8.6512739821759263E-2"/>
    <n v="4.4717460025199114E-2"/>
    <n v="2.6907908846331933E-2"/>
    <n v="8.0530144460964639E-2"/>
    <n v="0.279002933748"/>
    <n v="0.16788488221199996"/>
    <n v="0.50244684172799992"/>
    <m/>
    <m/>
    <m/>
    <n v="3.0342721089476332E-3"/>
    <n v="1.8258174162065844E-3"/>
    <n v="5.4643168715247424E-3"/>
    <n v="7.4294946205793283E-6"/>
    <n v="4.470561698097517E-6"/>
    <n v="1.3379522779917751E-5"/>
    <m/>
    <s v="ja"/>
    <m/>
    <m/>
    <m/>
    <m/>
    <m/>
    <x v="1"/>
    <n v="50"/>
    <s v="LKW"/>
  </r>
  <r>
    <x v="5"/>
    <s v="Innenwand"/>
    <m/>
    <s v="Trockenbau"/>
    <x v="21"/>
    <s v="Dämmung"/>
    <s v="Mineralwolle"/>
    <m/>
    <m/>
    <m/>
    <m/>
    <m/>
    <m/>
    <m/>
    <m/>
    <m/>
    <m/>
    <m/>
    <m/>
    <m/>
    <m/>
    <m/>
    <m/>
    <m/>
    <m/>
    <m/>
    <n v="4.0306792917608941E-2"/>
    <n v="2.4253871062976808E-2"/>
    <n v="7.2587124907901826E-2"/>
    <n v="4.8039526199101901E-2"/>
    <n v="2.8906901046212831E-2"/>
    <n v="8.6512739821759263E-2"/>
    <n v="4.4717460025199114E-2"/>
    <n v="2.6907908846331933E-2"/>
    <n v="8.0530144460964639E-2"/>
    <n v="0.279002933748"/>
    <n v="0.16788488221199996"/>
    <n v="0.50244684172799992"/>
    <m/>
    <m/>
    <m/>
    <n v="3.0342721089476332E-3"/>
    <n v="1.8258174162065844E-3"/>
    <n v="5.4643168715247424E-3"/>
    <n v="7.4294946205793283E-6"/>
    <n v="4.470561698097517E-6"/>
    <n v="1.3379522779917751E-5"/>
    <m/>
    <s v="ja"/>
    <m/>
    <m/>
    <m/>
    <m/>
    <m/>
    <x v="1"/>
    <n v="50"/>
    <s v="LKW"/>
  </r>
  <r>
    <x v="5"/>
    <s v="Innenwand"/>
    <m/>
    <s v="Trockenbau"/>
    <x v="21"/>
    <s v="Ständerwerk"/>
    <s v="Konstruktionsvollholz"/>
    <m/>
    <m/>
    <m/>
    <m/>
    <m/>
    <m/>
    <m/>
    <m/>
    <m/>
    <m/>
    <m/>
    <m/>
    <m/>
    <m/>
    <m/>
    <m/>
    <m/>
    <m/>
    <m/>
    <n v="3.2280331990292878E-2"/>
    <n v="3.2280331990292878E-2"/>
    <n v="3.2280331990292878E-2"/>
    <n v="3.8473213622657369E-2"/>
    <n v="3.8473213622657369E-2"/>
    <n v="3.8473213622657369E-2"/>
    <n v="3.5812684435765525E-2"/>
    <n v="3.5812684435765525E-2"/>
    <n v="3.5812684435765525E-2"/>
    <n v="0.22344390797999999"/>
    <n v="0.22344390797999999"/>
    <n v="0.22344390797999999"/>
    <m/>
    <m/>
    <m/>
    <n v="2.4300447625771092E-3"/>
    <n v="2.4300447625771092E-3"/>
    <n v="2.4300447625771092E-3"/>
    <n v="5.9500281593384235E-6"/>
    <n v="5.9500281593384235E-6"/>
    <n v="5.9500281593384235E-6"/>
    <m/>
    <s v="nein"/>
    <m/>
    <m/>
    <m/>
    <m/>
    <m/>
    <x v="1"/>
    <n v="50"/>
    <s v="LKW"/>
  </r>
  <r>
    <x v="1"/>
    <s v="Außenwand Beton"/>
    <m/>
    <s v="konv. Beton"/>
    <x v="17"/>
    <m/>
    <s v="Bewehrungsstahl"/>
    <m/>
    <m/>
    <m/>
    <m/>
    <m/>
    <m/>
    <m/>
    <m/>
    <m/>
    <m/>
    <m/>
    <m/>
    <m/>
    <m/>
    <m/>
    <m/>
    <m/>
    <m/>
    <m/>
    <n v="0.26173242154291521"/>
    <n v="0.26173242154291521"/>
    <n v="0.26173242154291521"/>
    <n v="0.31194497531884352"/>
    <n v="0.31194497531884352"/>
    <n v="0.31194497531884352"/>
    <n v="0.29037311704674751"/>
    <n v="0.29037311704674751"/>
    <n v="0.29037311704674751"/>
    <n v="1.8117073619999997"/>
    <n v="1.8117073619999997"/>
    <n v="1.8117073619999997"/>
    <m/>
    <m/>
    <m/>
    <n v="1.9703065642517101E-2"/>
    <n v="1.9703065642517101E-2"/>
    <n v="1.9703065642517101E-2"/>
    <n v="4.8243471562203435E-5"/>
    <n v="4.8243471562203435E-5"/>
    <n v="4.8243471562203435E-5"/>
    <m/>
    <s v="nein"/>
    <m/>
    <m/>
    <m/>
    <m/>
    <m/>
    <x v="1"/>
    <n v="50"/>
    <s v="LKW"/>
  </r>
  <r>
    <x v="1"/>
    <s v="Außenwand Beton"/>
    <m/>
    <s v="R-Beton"/>
    <x v="18"/>
    <m/>
    <s v="Bewehrungsstahl"/>
    <m/>
    <m/>
    <m/>
    <m/>
    <m/>
    <m/>
    <m/>
    <m/>
    <m/>
    <m/>
    <m/>
    <m/>
    <m/>
    <m/>
    <m/>
    <m/>
    <m/>
    <m/>
    <m/>
    <n v="0.26173242154291521"/>
    <n v="0.26173242154291521"/>
    <n v="0.26173242154291521"/>
    <n v="0.31194497531884352"/>
    <n v="0.31194497531884352"/>
    <n v="0.31194497531884352"/>
    <n v="0.29037311704674751"/>
    <n v="0.29037311704674751"/>
    <n v="0.29037311704674751"/>
    <n v="1.8117073619999997"/>
    <n v="1.8117073619999997"/>
    <n v="1.8117073619999997"/>
    <m/>
    <m/>
    <m/>
    <n v="1.9703065642517101E-2"/>
    <n v="1.9703065642517101E-2"/>
    <n v="1.9703065642517101E-2"/>
    <n v="4.8243471562203435E-5"/>
    <n v="4.8243471562203435E-5"/>
    <n v="4.8243471562203435E-5"/>
    <m/>
    <s v="nein"/>
    <m/>
    <m/>
    <m/>
    <m/>
    <m/>
    <x v="1"/>
    <n v="50"/>
    <s v="LKW"/>
  </r>
  <r>
    <x v="4"/>
    <s v="Heizung"/>
    <m/>
    <s v="Neu"/>
    <x v="19"/>
    <m/>
    <s v="Heizkörper, 60 cm Höhe"/>
    <m/>
    <m/>
    <m/>
    <m/>
    <m/>
    <m/>
    <m/>
    <m/>
    <m/>
    <m/>
    <m/>
    <m/>
    <m/>
    <m/>
    <m/>
    <m/>
    <m/>
    <m/>
    <m/>
    <n v="0.32716552692864403"/>
    <n v="0.32716552692864403"/>
    <n v="0.32716552692864403"/>
    <n v="0.38993121914855439"/>
    <n v="0.38993121914855439"/>
    <n v="0.38993121914855439"/>
    <n v="0.36296639630843436"/>
    <n v="0.36296639630843436"/>
    <n v="0.36296639630843436"/>
    <n v="2.2646342024999999"/>
    <n v="2.2646342024999999"/>
    <n v="2.2646342024999999"/>
    <m/>
    <m/>
    <m/>
    <n v="2.4628832053146373E-2"/>
    <n v="2.4628832053146373E-2"/>
    <n v="2.4628832053146373E-2"/>
    <n v="6.0304339452754301E-5"/>
    <n v="6.0304339452754301E-5"/>
    <n v="6.0304339452754301E-5"/>
    <m/>
    <s v="nein"/>
    <m/>
    <m/>
    <m/>
    <m/>
    <m/>
    <x v="1"/>
    <n v="50"/>
    <s v="LKW"/>
  </r>
  <r>
    <x v="0"/>
    <s v="Stahlbeton (R-Beton) - Bodenplatte"/>
    <m/>
    <s v="Referenz XPS"/>
    <x v="0"/>
    <s v="R-Beton, C20/25"/>
    <s v="R-Beton C20/25 mit 25% rezyklierter Gesteinskörnung"/>
    <m/>
    <m/>
    <m/>
    <m/>
    <m/>
    <m/>
    <m/>
    <m/>
    <m/>
    <m/>
    <m/>
    <m/>
    <m/>
    <m/>
    <m/>
    <m/>
    <m/>
    <m/>
    <m/>
    <n v="16.750874978746573"/>
    <n v="16.750874978746573"/>
    <n v="16.750874978746573"/>
    <n v="19.964478420405985"/>
    <n v="19.964478420405985"/>
    <n v="19.964478420405985"/>
    <n v="18.583879490991841"/>
    <n v="18.583879490991841"/>
    <n v="18.583879490991841"/>
    <n v="115.94927116799998"/>
    <n v="115.94927116799998"/>
    <n v="115.94927116799998"/>
    <m/>
    <m/>
    <m/>
    <n v="1.2609962011210945"/>
    <n v="1.2609962011210945"/>
    <n v="1.2609962011210945"/>
    <n v="3.0875821799810198E-3"/>
    <n v="3.0875821799810198E-3"/>
    <n v="3.0875821799810198E-3"/>
    <m/>
    <m/>
    <m/>
    <m/>
    <m/>
    <m/>
    <m/>
    <x v="1"/>
    <n v="100"/>
    <s v="LKW"/>
  </r>
  <r>
    <x v="1"/>
    <s v="Pfosten/Riegelsystem aus Aluminium"/>
    <m/>
    <s v="Referenz"/>
    <x v="10"/>
    <s v="Aluminiumpfosten/-Riegel"/>
    <s v="Pfosten/Riegel aus Aluminium"/>
    <m/>
    <m/>
    <m/>
    <m/>
    <m/>
    <m/>
    <m/>
    <m/>
    <m/>
    <m/>
    <m/>
    <m/>
    <m/>
    <m/>
    <m/>
    <m/>
    <m/>
    <m/>
    <m/>
    <n v="0"/>
    <n v="0"/>
    <n v="0"/>
    <n v="0"/>
    <n v="0"/>
    <n v="0"/>
    <n v="0"/>
    <n v="0"/>
    <n v="0"/>
    <n v="0"/>
    <n v="0"/>
    <n v="0"/>
    <m/>
    <m/>
    <m/>
    <n v="0"/>
    <n v="0"/>
    <n v="0"/>
    <n v="0"/>
    <n v="0"/>
    <n v="0"/>
    <m/>
    <m/>
    <m/>
    <m/>
    <m/>
    <m/>
    <m/>
    <x v="1"/>
    <m/>
    <m/>
  </r>
  <r>
    <x v="1"/>
    <s v="Außenwand Beton"/>
    <m/>
    <s v="R-Beton"/>
    <x v="18"/>
    <m/>
    <s v="R-Beton C20/25 mit 25% rezyklierter Gesteinskörnung"/>
    <m/>
    <m/>
    <m/>
    <m/>
    <m/>
    <m/>
    <m/>
    <m/>
    <m/>
    <m/>
    <m/>
    <m/>
    <m/>
    <m/>
    <m/>
    <m/>
    <m/>
    <m/>
    <m/>
    <n v="12.56315623405993"/>
    <n v="12.56315623405993"/>
    <n v="12.56315623405993"/>
    <n v="14.973358815304488"/>
    <n v="14.973358815304488"/>
    <n v="14.973358815304488"/>
    <n v="13.937909618243879"/>
    <n v="13.937909618243879"/>
    <n v="13.937909618243879"/>
    <n v="86.961953375999997"/>
    <n v="86.961953375999997"/>
    <n v="86.961953375999997"/>
    <m/>
    <m/>
    <m/>
    <n v="0.94574715084082073"/>
    <n v="0.94574715084082073"/>
    <n v="0.94574715084082073"/>
    <n v="2.3156866349857644E-3"/>
    <n v="2.3156866349857644E-3"/>
    <n v="2.3156866349857644E-3"/>
    <m/>
    <s v="nein"/>
    <m/>
    <m/>
    <m/>
    <m/>
    <m/>
    <x v="1"/>
    <n v="100"/>
    <s v="LKW"/>
  </r>
  <r>
    <x v="4"/>
    <s v="Heizung"/>
    <m/>
    <s v="ReUse"/>
    <x v="20"/>
    <m/>
    <s v="Heizkörper, 60 cm Höhe wiederverwendet"/>
    <m/>
    <m/>
    <m/>
    <m/>
    <m/>
    <m/>
    <m/>
    <m/>
    <m/>
    <m/>
    <m/>
    <m/>
    <m/>
    <m/>
    <m/>
    <m/>
    <m/>
    <m/>
    <m/>
    <n v="1.3086621077145761"/>
    <n v="1.3086621077145761"/>
    <n v="1.3086621077145761"/>
    <n v="1.5597248765942175"/>
    <n v="1.5597248765942175"/>
    <n v="1.5597248765942175"/>
    <n v="1.4518655852337374"/>
    <n v="1.4518655852337374"/>
    <n v="1.4518655852337374"/>
    <n v="9.0585368099999997"/>
    <n v="9.0585368099999997"/>
    <n v="9.0585368099999997"/>
    <m/>
    <m/>
    <m/>
    <n v="9.851532821258549E-2"/>
    <n v="9.851532821258549E-2"/>
    <n v="9.851532821258549E-2"/>
    <n v="2.412173578110172E-4"/>
    <n v="2.412173578110172E-4"/>
    <n v="2.412173578110172E-4"/>
    <m/>
    <s v="nein"/>
    <m/>
    <m/>
    <m/>
    <m/>
    <m/>
    <x v="1"/>
    <n v="200"/>
    <s v="LKW"/>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46F2415A-4A24-411E-9F55-BB2365EC4692}" name="Pivot_RMI" cacheId="0" applyNumberFormats="0" applyBorderFormats="0" applyFontFormats="0" applyPatternFormats="0" applyAlignmentFormats="0" applyWidthHeightFormats="1" dataCaption="Werte" updatedVersion="8" minRefreshableVersion="3" useAutoFormatting="1" rowGrandTotals="0" itemPrintTitles="1" createdVersion="8" indent="0" outline="1" outlineData="1" multipleFieldFilters="0" chartFormat="29">
  <location ref="W13:AF43" firstHeaderRow="1" firstDataRow="3" firstDataCol="1"/>
  <pivotFields count="57">
    <pivotField axis="axisRow" subtotalTop="0" showAll="0" defaultSubtotal="0">
      <items count="54">
        <item x="0"/>
        <item x="1"/>
        <item x="2"/>
        <item x="3"/>
        <item m="1" x="6"/>
        <item m="1" x="7"/>
        <item m="1" x="8"/>
        <item m="1" x="9"/>
        <item m="1" x="10"/>
        <item m="1" x="11"/>
        <item m="1" x="12"/>
        <item m="1" x="13"/>
        <item m="1" x="14"/>
        <item m="1" x="15"/>
        <item m="1" x="16"/>
        <item m="1" x="17"/>
        <item m="1" x="18"/>
        <item m="1" x="19"/>
        <item m="1" x="20"/>
        <item m="1" x="21"/>
        <item m="1" x="22"/>
        <item m="1" x="23"/>
        <item m="1" x="24"/>
        <item m="1" x="25"/>
        <item m="1" x="26"/>
        <item m="1" x="27"/>
        <item m="1" x="28"/>
        <item m="1" x="29"/>
        <item m="1" x="30"/>
        <item m="1" x="31"/>
        <item m="1" x="32"/>
        <item m="1" x="33"/>
        <item m="1" x="34"/>
        <item m="1" x="35"/>
        <item m="1" x="36"/>
        <item m="1" x="37"/>
        <item m="1" x="38"/>
        <item m="1" x="39"/>
        <item m="1" x="40"/>
        <item m="1" x="41"/>
        <item m="1" x="42"/>
        <item m="1" x="43"/>
        <item m="1" x="44"/>
        <item m="1" x="45"/>
        <item m="1" x="46"/>
        <item m="1" x="47"/>
        <item m="1" x="48"/>
        <item m="1" x="49"/>
        <item m="1" x="50"/>
        <item m="1" x="51"/>
        <item m="1" x="52"/>
        <item m="1" x="53"/>
        <item x="4"/>
        <item x="5"/>
      </items>
    </pivotField>
    <pivotField subtotalTop="0" showAll="0" defaultSubtotal="0"/>
    <pivotField subtotalTop="0" showAll="0" defaultSubtotal="0"/>
    <pivotField subtotalTop="0" showAll="0" defaultSubtotal="0"/>
    <pivotField axis="axisRow" subtotalTop="0" multipleItemSelectionAllowed="1" showAll="0" defaultSubtotal="0">
      <items count="75">
        <item x="10"/>
        <item x="2"/>
        <item x="16"/>
        <item x="1"/>
        <item x="14"/>
        <item x="15"/>
        <item x="4"/>
        <item x="13"/>
        <item x="0"/>
        <item x="12"/>
        <item x="5"/>
        <item x="3"/>
        <item x="6"/>
        <item x="7"/>
        <item x="8"/>
        <item x="9"/>
        <item x="11"/>
        <item m="1" x="74"/>
        <item m="1" x="73"/>
        <item m="1" x="72"/>
        <item m="1" x="71"/>
        <item m="1" x="36"/>
        <item m="1" x="37"/>
        <item m="1" x="38"/>
        <item m="1" x="39"/>
        <item m="1" x="40"/>
        <item m="1" x="41"/>
        <item m="1" x="42"/>
        <item m="1" x="43"/>
        <item m="1" x="44"/>
        <item m="1" x="45"/>
        <item m="1" x="46"/>
        <item m="1" x="47"/>
        <item m="1" x="48"/>
        <item m="1" x="49"/>
        <item m="1" x="50"/>
        <item m="1" x="51"/>
        <item m="1" x="52"/>
        <item m="1" x="53"/>
        <item m="1" x="54"/>
        <item m="1" x="55"/>
        <item m="1" x="56"/>
        <item m="1" x="57"/>
        <item m="1" x="58"/>
        <item m="1" x="59"/>
        <item m="1" x="60"/>
        <item m="1" x="61"/>
        <item m="1" x="62"/>
        <item m="1" x="63"/>
        <item m="1" x="64"/>
        <item m="1" x="65"/>
        <item m="1" x="66"/>
        <item m="1" x="67"/>
        <item m="1" x="68"/>
        <item m="1" x="69"/>
        <item m="1" x="70"/>
        <item m="1" x="35"/>
        <item m="1" x="33"/>
        <item m="1" x="34"/>
        <item m="1" x="31"/>
        <item m="1" x="32"/>
        <item m="1" x="29"/>
        <item m="1" x="30"/>
        <item m="1" x="25"/>
        <item m="1" x="26"/>
        <item m="1" x="27"/>
        <item m="1" x="28"/>
        <item m="1" x="24"/>
        <item x="17"/>
        <item x="18"/>
        <item x="19"/>
        <item x="20"/>
        <item m="1" x="23"/>
        <item x="21"/>
        <item m="1" x="22"/>
      </items>
    </pivotField>
    <pivotField subtotalTop="0" showAll="0" defaultSubtotal="0"/>
    <pivotField subtotalTop="0" showAll="0" defaultSubtotal="0"/>
    <pivotField subtotalTop="0" showAll="0" defaultSubtotal="0"/>
    <pivotField showAll="0" defaultSubtotal="0"/>
    <pivotField subtotalTop="0" showAll="0" defaultSubtotal="0"/>
    <pivotField subtotalTop="0" showAll="0" defaultSubtotal="0"/>
    <pivotField numFmtId="9" subtotalTop="0" showAll="0" defaultSubtotal="0"/>
    <pivotField showAll="0" defaultSubtotal="0"/>
    <pivotField numFmtId="167" subtotalTop="0" showAll="0" defaultSubtotal="0"/>
    <pivotField subtotalTop="0" showAll="0" defaultSubtotal="0"/>
    <pivotField subtotalTop="0" showAll="0" defaultSubtotal="0"/>
    <pivotField numFmtId="167" subtotalTop="0" showAll="0" defaultSubtotal="0"/>
    <pivotField subtotalTop="0" showAll="0" defaultSubtotal="0"/>
    <pivotField subtotalTop="0" showAll="0" defaultSubtotal="0"/>
    <pivotField showAll="0" defaultSubtotal="0"/>
    <pivotField showAll="0" defaultSubtotal="0"/>
    <pivotField subtotalTop="0" showAll="0" defaultSubtotal="0"/>
    <pivotField subtotalTop="0" showAll="0" defaultSubtotal="0"/>
    <pivotField subtotalTop="0" showAll="0" defaultSubtotal="0"/>
    <pivotField subtotalTop="0" showAll="0" defaultSubtotal="0"/>
    <pivotField subtotalTop="0" showAll="0" defaultSubtotal="0"/>
    <pivotField dataField="1" subtotalTop="0" showAll="0" defaultSubtotal="0"/>
    <pivotField dataField="1" subtotalTop="0" showAll="0" defaultSubtotal="0"/>
    <pivotField dataField="1" subtotalTop="0" showAll="0" defaultSubtotal="0"/>
    <pivotField subtotalTop="0" showAll="0" defaultSubtotal="0"/>
    <pivotField subtotalTop="0" showAll="0" defaultSubtotal="0"/>
    <pivotField subtotalTop="0" showAll="0" defaultSubtotal="0"/>
    <pivotField subtotalTop="0" showAll="0" defaultSubtotal="0"/>
    <pivotField subtotalTop="0" showAll="0" defaultSubtotal="0"/>
    <pivotField subtotalTop="0" showAll="0" defaultSubtotal="0"/>
    <pivotField subtotalTop="0" showAll="0" defaultSubtotal="0"/>
    <pivotField subtotalTop="0" showAll="0" defaultSubtotal="0"/>
    <pivotField subtotalTop="0" showAll="0" defaultSubtotal="0"/>
    <pivotField subtotalTop="0" showAll="0" defaultSubtotal="0"/>
    <pivotField subtotalTop="0" showAll="0" defaultSubtotal="0"/>
    <pivotField subtotalTop="0" showAll="0" defaultSubtotal="0"/>
    <pivotField subtotalTop="0" showAll="0" defaultSubtotal="0"/>
    <pivotField subtotalTop="0" showAll="0" defaultSubtotal="0"/>
    <pivotField subtotalTop="0" showAll="0" defaultSubtotal="0"/>
    <pivotField subtotalTop="0" showAll="0" defaultSubtotal="0"/>
    <pivotField subtotalTop="0" showAll="0" defaultSubtotal="0"/>
    <pivotField subtotalTop="0" showAll="0" defaultSubtotal="0"/>
    <pivotField subtotalTop="0" showAll="0" defaultSubtotal="0"/>
    <pivotField subtotalTop="0" showAll="0" defaultSubtotal="0"/>
    <pivotField subtotalTop="0" showAll="0" defaultSubtotal="0"/>
    <pivotField subtotalTop="0" showAll="0" defaultSubtotal="0"/>
    <pivotField subtotalTop="0" showAll="0" defaultSubtotal="0"/>
    <pivotField subtotalTop="0" showAll="0" defaultSubtotal="0"/>
    <pivotField subtotalTop="0" showAll="0" defaultSubtotal="0"/>
    <pivotField axis="axisCol" subtotalTop="0" showAll="0" defaultSubtotal="0">
      <items count="19">
        <item x="0"/>
        <item x="1"/>
        <item h="1" m="1" x="2"/>
        <item h="1" m="1" x="3"/>
        <item h="1" m="1" x="4"/>
        <item h="1" m="1" x="5"/>
        <item h="1" m="1" x="6"/>
        <item h="1" m="1" x="7"/>
        <item h="1" m="1" x="8"/>
        <item h="1" m="1" x="9"/>
        <item h="1" m="1" x="10"/>
        <item h="1" m="1" x="11"/>
        <item h="1" m="1" x="12"/>
        <item h="1" m="1" x="13"/>
        <item h="1" m="1" x="14"/>
        <item h="1" m="1" x="15"/>
        <item h="1" m="1" x="16"/>
        <item h="1" m="1" x="17"/>
        <item h="1" m="1" x="18"/>
      </items>
    </pivotField>
    <pivotField subtotalTop="0" showAll="0" defaultSubtotal="0"/>
    <pivotField subtotalTop="0" showAll="0" defaultSubtotal="0"/>
  </pivotFields>
  <rowFields count="2">
    <field x="0"/>
    <field x="4"/>
  </rowFields>
  <rowItems count="28">
    <i>
      <x/>
    </i>
    <i r="1">
      <x v="3"/>
    </i>
    <i r="1">
      <x v="8"/>
    </i>
    <i>
      <x v="1"/>
    </i>
    <i r="1">
      <x/>
    </i>
    <i r="1">
      <x v="1"/>
    </i>
    <i r="1">
      <x v="6"/>
    </i>
    <i r="1">
      <x v="10"/>
    </i>
    <i r="1">
      <x v="11"/>
    </i>
    <i r="1">
      <x v="12"/>
    </i>
    <i r="1">
      <x v="13"/>
    </i>
    <i r="1">
      <x v="14"/>
    </i>
    <i r="1">
      <x v="15"/>
    </i>
    <i r="1">
      <x v="16"/>
    </i>
    <i r="1">
      <x v="68"/>
    </i>
    <i r="1">
      <x v="69"/>
    </i>
    <i>
      <x v="2"/>
    </i>
    <i r="1">
      <x v="4"/>
    </i>
    <i r="1">
      <x v="7"/>
    </i>
    <i r="1">
      <x v="9"/>
    </i>
    <i>
      <x v="3"/>
    </i>
    <i r="1">
      <x v="2"/>
    </i>
    <i r="1">
      <x v="5"/>
    </i>
    <i>
      <x v="52"/>
    </i>
    <i r="1">
      <x v="70"/>
    </i>
    <i r="1">
      <x v="71"/>
    </i>
    <i>
      <x v="53"/>
    </i>
    <i r="1">
      <x v="73"/>
    </i>
  </rowItems>
  <colFields count="2">
    <field x="54"/>
    <field x="-2"/>
  </colFields>
  <colItems count="9">
    <i>
      <x/>
      <x/>
    </i>
    <i r="1" i="1">
      <x v="1"/>
    </i>
    <i r="1" i="2">
      <x v="2"/>
    </i>
    <i>
      <x v="1"/>
      <x/>
    </i>
    <i r="1" i="1">
      <x v="1"/>
    </i>
    <i r="1" i="2">
      <x v="2"/>
    </i>
    <i t="grand">
      <x/>
    </i>
    <i t="grand" i="1">
      <x/>
    </i>
    <i t="grand" i="2">
      <x/>
    </i>
  </colItems>
  <dataFields count="3">
    <dataField name="  RMI min" fld="27" baseField="0" baseItem="0"/>
    <dataField name="  RMI Referenz" fld="26" baseField="0" baseItem="0"/>
    <dataField name="  RMI max" fld="28" baseField="0" baseItem="0"/>
  </dataFields>
  <formats count="22">
    <format dxfId="225">
      <pivotArea dataOnly="0" labelOnly="1" outline="0" fieldPosition="0">
        <references count="1">
          <reference field="4294967294" count="1">
            <x v="1"/>
          </reference>
        </references>
      </pivotArea>
    </format>
    <format dxfId="224">
      <pivotArea type="all" dataOnly="0" outline="0" fieldPosition="0"/>
    </format>
    <format dxfId="223">
      <pivotArea dataOnly="0" labelOnly="1" outline="0" fieldPosition="0">
        <references count="1">
          <reference field="4294967294" count="1">
            <x v="1"/>
          </reference>
        </references>
      </pivotArea>
    </format>
    <format dxfId="222">
      <pivotArea dataOnly="0" labelOnly="1" outline="0" fieldPosition="0">
        <references count="1">
          <reference field="4294967294" count="1">
            <x v="1"/>
          </reference>
        </references>
      </pivotArea>
    </format>
    <format dxfId="221">
      <pivotArea type="all" dataOnly="0" outline="0" fieldPosition="0"/>
    </format>
    <format dxfId="220">
      <pivotArea outline="0" collapsedLevelsAreSubtotals="1" fieldPosition="0"/>
    </format>
    <format dxfId="219">
      <pivotArea field="0" type="button" dataOnly="0" labelOnly="1" outline="0" axis="axisRow" fieldPosition="0"/>
    </format>
    <format dxfId="218">
      <pivotArea dataOnly="0" labelOnly="1" fieldPosition="0">
        <references count="1">
          <reference field="0" count="0"/>
        </references>
      </pivotArea>
    </format>
    <format dxfId="217">
      <pivotArea dataOnly="0" labelOnly="1" fieldPosition="0">
        <references count="2">
          <reference field="0" count="1" selected="0">
            <x v="0"/>
          </reference>
          <reference field="4" count="2">
            <x v="3"/>
            <x v="8"/>
          </reference>
        </references>
      </pivotArea>
    </format>
    <format dxfId="216">
      <pivotArea dataOnly="0" labelOnly="1" fieldPosition="0">
        <references count="2">
          <reference field="0" count="1" selected="0">
            <x v="1"/>
          </reference>
          <reference field="4" count="10">
            <x v="0"/>
            <x v="1"/>
            <x v="6"/>
            <x v="10"/>
            <x v="11"/>
            <x v="12"/>
            <x v="13"/>
            <x v="14"/>
            <x v="15"/>
            <x v="16"/>
          </reference>
        </references>
      </pivotArea>
    </format>
    <format dxfId="215">
      <pivotArea dataOnly="0" labelOnly="1" fieldPosition="0">
        <references count="2">
          <reference field="0" count="1" selected="0">
            <x v="2"/>
          </reference>
          <reference field="4" count="4">
            <x v="4"/>
            <x v="7"/>
            <x v="9"/>
            <x v="17"/>
          </reference>
        </references>
      </pivotArea>
    </format>
    <format dxfId="214">
      <pivotArea dataOnly="0" labelOnly="1" fieldPosition="0">
        <references count="2">
          <reference field="0" count="1" selected="0">
            <x v="3"/>
          </reference>
          <reference field="4" count="2">
            <x v="2"/>
            <x v="5"/>
          </reference>
        </references>
      </pivotArea>
    </format>
    <format dxfId="213">
      <pivotArea dataOnly="0" labelOnly="1" outline="0" fieldPosition="0">
        <references count="1">
          <reference field="4294967294" count="3">
            <x v="0"/>
            <x v="1"/>
            <x v="2"/>
          </reference>
        </references>
      </pivotArea>
    </format>
    <format dxfId="212">
      <pivotArea dataOnly="0" labelOnly="1" outline="0" fieldPosition="0">
        <references count="1">
          <reference field="4294967294" count="1">
            <x v="2"/>
          </reference>
        </references>
      </pivotArea>
    </format>
    <format dxfId="211">
      <pivotArea dataOnly="0" labelOnly="1" outline="0" fieldPosition="0">
        <references count="1">
          <reference field="4294967294" count="1">
            <x v="0"/>
          </reference>
        </references>
      </pivotArea>
    </format>
    <format dxfId="210">
      <pivotArea collapsedLevelsAreSubtotals="1" fieldPosition="0">
        <references count="2">
          <reference field="0" count="1" selected="0">
            <x v="0"/>
          </reference>
          <reference field="4" count="2">
            <x v="3"/>
            <x v="8"/>
          </reference>
        </references>
      </pivotArea>
    </format>
    <format dxfId="209">
      <pivotArea collapsedLevelsAreSubtotals="1" fieldPosition="0">
        <references count="1">
          <reference field="0" count="1">
            <x v="1"/>
          </reference>
        </references>
      </pivotArea>
    </format>
    <format dxfId="208">
      <pivotArea collapsedLevelsAreSubtotals="1" fieldPosition="0">
        <references count="2">
          <reference field="0" count="1" selected="0">
            <x v="1"/>
          </reference>
          <reference field="4" count="10">
            <x v="0"/>
            <x v="1"/>
            <x v="6"/>
            <x v="10"/>
            <x v="11"/>
            <x v="12"/>
            <x v="13"/>
            <x v="14"/>
            <x v="15"/>
            <x v="16"/>
          </reference>
        </references>
      </pivotArea>
    </format>
    <format dxfId="207">
      <pivotArea collapsedLevelsAreSubtotals="1" fieldPosition="0">
        <references count="1">
          <reference field="0" count="1">
            <x v="2"/>
          </reference>
        </references>
      </pivotArea>
    </format>
    <format dxfId="206">
      <pivotArea collapsedLevelsAreSubtotals="1" fieldPosition="0">
        <references count="2">
          <reference field="0" count="1" selected="0">
            <x v="2"/>
          </reference>
          <reference field="4" count="3">
            <x v="4"/>
            <x v="7"/>
            <x v="9"/>
          </reference>
        </references>
      </pivotArea>
    </format>
    <format dxfId="205">
      <pivotArea collapsedLevelsAreSubtotals="1" fieldPosition="0">
        <references count="1">
          <reference field="0" count="1">
            <x v="3"/>
          </reference>
        </references>
      </pivotArea>
    </format>
    <format dxfId="204">
      <pivotArea collapsedLevelsAreSubtotals="1" fieldPosition="0">
        <references count="2">
          <reference field="0" count="1" selected="0">
            <x v="3"/>
          </reference>
          <reference field="4" count="2">
            <x v="2"/>
            <x v="5"/>
          </reference>
        </references>
      </pivotArea>
    </format>
  </formats>
  <chartFormats count="7">
    <chartFormat chart="4" format="18" series="1">
      <pivotArea type="data" outline="0" fieldPosition="0">
        <references count="1">
          <reference field="4294967294" count="1" selected="0">
            <x v="1"/>
          </reference>
        </references>
      </pivotArea>
    </chartFormat>
    <chartFormat chart="23" format="79" series="1">
      <pivotArea type="data" outline="0" fieldPosition="0">
        <references count="2">
          <reference field="4294967294" count="1" selected="0">
            <x v="0"/>
          </reference>
          <reference field="54" count="1" selected="0">
            <x v="0"/>
          </reference>
        </references>
      </pivotArea>
    </chartFormat>
    <chartFormat chart="23" format="80" series="1">
      <pivotArea type="data" outline="0" fieldPosition="0">
        <references count="2">
          <reference field="4294967294" count="1" selected="0">
            <x v="1"/>
          </reference>
          <reference field="54" count="1" selected="0">
            <x v="0"/>
          </reference>
        </references>
      </pivotArea>
    </chartFormat>
    <chartFormat chart="23" format="81" series="1">
      <pivotArea type="data" outline="0" fieldPosition="0">
        <references count="2">
          <reference field="4294967294" count="1" selected="0">
            <x v="2"/>
          </reference>
          <reference field="54" count="1" selected="0">
            <x v="0"/>
          </reference>
        </references>
      </pivotArea>
    </chartFormat>
    <chartFormat chart="23" format="82" series="1">
      <pivotArea type="data" outline="0" fieldPosition="0">
        <references count="2">
          <reference field="4294967294" count="1" selected="0">
            <x v="0"/>
          </reference>
          <reference field="54" count="1" selected="0">
            <x v="1"/>
          </reference>
        </references>
      </pivotArea>
    </chartFormat>
    <chartFormat chart="23" format="83" series="1">
      <pivotArea type="data" outline="0" fieldPosition="0">
        <references count="2">
          <reference field="4294967294" count="1" selected="0">
            <x v="1"/>
          </reference>
          <reference field="54" count="1" selected="0">
            <x v="1"/>
          </reference>
        </references>
      </pivotArea>
    </chartFormat>
    <chartFormat chart="23" format="84" series="1">
      <pivotArea type="data" outline="0" fieldPosition="0">
        <references count="2">
          <reference field="4294967294" count="1" selected="0">
            <x v="2"/>
          </reference>
          <reference field="54" count="1" selected="0">
            <x v="1"/>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50CCD596-93EA-4F25-B5AC-B3C07AAAC1F3}" name="Pivot_GWP" cacheId="0" applyNumberFormats="0" applyBorderFormats="0" applyFontFormats="0" applyPatternFormats="0" applyAlignmentFormats="0" applyWidthHeightFormats="1" dataCaption="Werte" updatedVersion="8" minRefreshableVersion="3" useAutoFormatting="1" rowGrandTotals="0" itemPrintTitles="1" createdVersion="8" indent="0" outline="1" outlineData="1" multipleFieldFilters="0" chartFormat="27">
  <location ref="M13:V43" firstHeaderRow="1" firstDataRow="3" firstDataCol="1"/>
  <pivotFields count="57">
    <pivotField axis="axisRow" showAll="0" defaultSubtotal="0">
      <items count="54">
        <item x="0"/>
        <item x="1"/>
        <item x="2"/>
        <item x="3"/>
        <item m="1" x="6"/>
        <item m="1" x="7"/>
        <item m="1" x="8"/>
        <item m="1" x="9"/>
        <item m="1" x="10"/>
        <item m="1" x="11"/>
        <item m="1" x="12"/>
        <item m="1" x="13"/>
        <item m="1" x="14"/>
        <item m="1" x="15"/>
        <item m="1" x="16"/>
        <item m="1" x="17"/>
        <item m="1" x="18"/>
        <item m="1" x="19"/>
        <item m="1" x="20"/>
        <item m="1" x="21"/>
        <item m="1" x="22"/>
        <item m="1" x="23"/>
        <item m="1" x="24"/>
        <item m="1" x="25"/>
        <item m="1" x="26"/>
        <item m="1" x="27"/>
        <item m="1" x="28"/>
        <item m="1" x="29"/>
        <item m="1" x="30"/>
        <item m="1" x="31"/>
        <item m="1" x="32"/>
        <item m="1" x="33"/>
        <item m="1" x="34"/>
        <item m="1" x="35"/>
        <item m="1" x="36"/>
        <item m="1" x="37"/>
        <item m="1" x="38"/>
        <item m="1" x="39"/>
        <item m="1" x="40"/>
        <item m="1" x="41"/>
        <item m="1" x="42"/>
        <item m="1" x="43"/>
        <item m="1" x="44"/>
        <item m="1" x="45"/>
        <item m="1" x="46"/>
        <item m="1" x="47"/>
        <item m="1" x="48"/>
        <item m="1" x="49"/>
        <item m="1" x="50"/>
        <item m="1" x="51"/>
        <item m="1" x="52"/>
        <item m="1" x="53"/>
        <item x="4"/>
        <item x="5"/>
      </items>
    </pivotField>
    <pivotField showAll="0" defaultSubtotal="0"/>
    <pivotField showAll="0" defaultSubtotal="0"/>
    <pivotField showAll="0" defaultSubtotal="0"/>
    <pivotField axis="axisRow" multipleItemSelectionAllowed="1" showAll="0" defaultSubtotal="0">
      <items count="75">
        <item x="10"/>
        <item x="2"/>
        <item x="16"/>
        <item x="1"/>
        <item x="14"/>
        <item x="15"/>
        <item x="4"/>
        <item x="13"/>
        <item x="0"/>
        <item x="12"/>
        <item x="5"/>
        <item x="3"/>
        <item x="6"/>
        <item x="7"/>
        <item x="8"/>
        <item x="9"/>
        <item x="11"/>
        <item m="1" x="74"/>
        <item m="1" x="73"/>
        <item m="1" x="72"/>
        <item m="1" x="71"/>
        <item m="1" x="36"/>
        <item m="1" x="37"/>
        <item m="1" x="38"/>
        <item m="1" x="39"/>
        <item m="1" x="40"/>
        <item m="1" x="41"/>
        <item m="1" x="42"/>
        <item m="1" x="43"/>
        <item m="1" x="44"/>
        <item m="1" x="45"/>
        <item m="1" x="46"/>
        <item m="1" x="47"/>
        <item m="1" x="48"/>
        <item m="1" x="49"/>
        <item m="1" x="50"/>
        <item m="1" x="51"/>
        <item m="1" x="52"/>
        <item m="1" x="53"/>
        <item m="1" x="54"/>
        <item m="1" x="55"/>
        <item m="1" x="56"/>
        <item m="1" x="57"/>
        <item m="1" x="58"/>
        <item m="1" x="59"/>
        <item m="1" x="60"/>
        <item m="1" x="61"/>
        <item m="1" x="62"/>
        <item m="1" x="63"/>
        <item m="1" x="64"/>
        <item m="1" x="65"/>
        <item m="1" x="66"/>
        <item m="1" x="67"/>
        <item m="1" x="68"/>
        <item m="1" x="69"/>
        <item m="1" x="70"/>
        <item m="1" x="35"/>
        <item m="1" x="33"/>
        <item m="1" x="34"/>
        <item m="1" x="31"/>
        <item m="1" x="32"/>
        <item m="1" x="29"/>
        <item m="1" x="30"/>
        <item m="1" x="25"/>
        <item m="1" x="26"/>
        <item m="1" x="27"/>
        <item m="1" x="28"/>
        <item m="1" x="24"/>
        <item x="17"/>
        <item x="18"/>
        <item x="19"/>
        <item x="20"/>
        <item m="1" x="23"/>
        <item x="21"/>
        <item m="1" x="22"/>
      </items>
    </pivotField>
    <pivotField showAll="0" defaultSubtotal="0"/>
    <pivotField showAll="0" defaultSubtotal="0"/>
    <pivotField showAll="0" defaultSubtotal="0"/>
    <pivotField showAll="0" defaultSubtotal="0"/>
    <pivotField showAll="0" defaultSubtotal="0"/>
    <pivotField showAll="0" defaultSubtotal="0"/>
    <pivotField numFmtId="9" showAll="0" defaultSubtotal="0"/>
    <pivotField showAll="0" defaultSubtotal="0"/>
    <pivotField numFmtId="167" showAll="0" defaultSubtotal="0"/>
    <pivotField showAll="0" defaultSubtotal="0"/>
    <pivotField showAll="0" defaultSubtotal="0"/>
    <pivotField numFmtId="167"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dataField="1" showAll="0" defaultSubtotal="0"/>
    <pivotField dataField="1"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ubtotalTop="0" showAll="0" defaultSubtotal="0"/>
    <pivotField showAll="0" defaultSubtotal="0"/>
    <pivotField showAll="0" defaultSubtotal="0"/>
    <pivotField showAll="0" defaultSubtotal="0"/>
    <pivotField showAll="0" defaultSubtotal="0"/>
    <pivotField showAll="0" defaultSubtotal="0"/>
    <pivotField axis="axisCol" showAll="0" defaultSubtotal="0">
      <items count="19">
        <item x="0"/>
        <item x="1"/>
        <item h="1" m="1" x="2"/>
        <item h="1" m="1" x="3"/>
        <item h="1" m="1" x="4"/>
        <item h="1" m="1" x="5"/>
        <item h="1" m="1" x="6"/>
        <item h="1" m="1" x="7"/>
        <item h="1" m="1" x="8"/>
        <item h="1" m="1" x="9"/>
        <item h="1" m="1" x="10"/>
        <item h="1" m="1" x="11"/>
        <item h="1" m="1" x="12"/>
        <item h="1" m="1" x="13"/>
        <item h="1" m="1" x="14"/>
        <item h="1" m="1" x="15"/>
        <item h="1" m="1" x="16"/>
        <item h="1" m="1" x="17"/>
        <item h="1" m="1" x="18"/>
      </items>
    </pivotField>
    <pivotField subtotalTop="0" showAll="0" defaultSubtotal="0"/>
    <pivotField subtotalTop="0" showAll="0" defaultSubtotal="0"/>
  </pivotFields>
  <rowFields count="2">
    <field x="0"/>
    <field x="4"/>
  </rowFields>
  <rowItems count="28">
    <i>
      <x/>
    </i>
    <i r="1">
      <x v="3"/>
    </i>
    <i r="1">
      <x v="8"/>
    </i>
    <i>
      <x v="1"/>
    </i>
    <i r="1">
      <x/>
    </i>
    <i r="1">
      <x v="1"/>
    </i>
    <i r="1">
      <x v="6"/>
    </i>
    <i r="1">
      <x v="10"/>
    </i>
    <i r="1">
      <x v="11"/>
    </i>
    <i r="1">
      <x v="12"/>
    </i>
    <i r="1">
      <x v="13"/>
    </i>
    <i r="1">
      <x v="14"/>
    </i>
    <i r="1">
      <x v="15"/>
    </i>
    <i r="1">
      <x v="16"/>
    </i>
    <i r="1">
      <x v="68"/>
    </i>
    <i r="1">
      <x v="69"/>
    </i>
    <i>
      <x v="2"/>
    </i>
    <i r="1">
      <x v="4"/>
    </i>
    <i r="1">
      <x v="7"/>
    </i>
    <i r="1">
      <x v="9"/>
    </i>
    <i>
      <x v="3"/>
    </i>
    <i r="1">
      <x v="2"/>
    </i>
    <i r="1">
      <x v="5"/>
    </i>
    <i>
      <x v="52"/>
    </i>
    <i r="1">
      <x v="70"/>
    </i>
    <i r="1">
      <x v="71"/>
    </i>
    <i>
      <x v="53"/>
    </i>
    <i r="1">
      <x v="73"/>
    </i>
  </rowItems>
  <colFields count="2">
    <field x="54"/>
    <field x="-2"/>
  </colFields>
  <colItems count="9">
    <i>
      <x/>
      <x/>
    </i>
    <i r="1" i="1">
      <x v="1"/>
    </i>
    <i r="1" i="2">
      <x v="2"/>
    </i>
    <i>
      <x v="1"/>
      <x/>
    </i>
    <i r="1" i="1">
      <x v="1"/>
    </i>
    <i r="1" i="2">
      <x v="2"/>
    </i>
    <i t="grand">
      <x/>
    </i>
    <i t="grand" i="1">
      <x/>
    </i>
    <i t="grand" i="2">
      <x/>
    </i>
  </colItems>
  <dataFields count="3">
    <dataField name="  GWP min" fld="33" baseField="0" baseItem="0"/>
    <dataField name="  GWP Referenz" fld="32" baseField="0" baseItem="0"/>
    <dataField name="  GWP max" fld="34" baseField="0" baseItem="0"/>
  </dataFields>
  <formats count="19">
    <format dxfId="244">
      <pivotArea outline="0" collapsedLevelsAreSubtotals="1" fieldPosition="0"/>
    </format>
    <format dxfId="243">
      <pivotArea dataOnly="0" labelOnly="1" outline="0" fieldPosition="0">
        <references count="1">
          <reference field="4294967294" count="1">
            <x v="1"/>
          </reference>
        </references>
      </pivotArea>
    </format>
    <format dxfId="242">
      <pivotArea type="all" dataOnly="0" outline="0" fieldPosition="0"/>
    </format>
    <format dxfId="241">
      <pivotArea outline="0" collapsedLevelsAreSubtotals="1" fieldPosition="0"/>
    </format>
    <format dxfId="240">
      <pivotArea dataOnly="0" labelOnly="1" grandRow="1" outline="0" fieldPosition="0"/>
    </format>
    <format dxfId="239">
      <pivotArea dataOnly="0" labelOnly="1" outline="0" fieldPosition="0">
        <references count="1">
          <reference field="4294967294" count="1">
            <x v="1"/>
          </reference>
        </references>
      </pivotArea>
    </format>
    <format dxfId="238">
      <pivotArea outline="0" collapsedLevelsAreSubtotals="1" fieldPosition="0"/>
    </format>
    <format dxfId="237">
      <pivotArea field="0" type="button" dataOnly="0" labelOnly="1" outline="0" axis="axisRow" fieldPosition="0"/>
    </format>
    <format dxfId="236">
      <pivotArea dataOnly="0" labelOnly="1" outline="0" fieldPosition="0">
        <references count="1">
          <reference field="4294967294" count="1">
            <x v="1"/>
          </reference>
        </references>
      </pivotArea>
    </format>
    <format dxfId="235">
      <pivotArea type="all" dataOnly="0" outline="0" fieldPosition="0"/>
    </format>
    <format dxfId="234">
      <pivotArea outline="0" collapsedLevelsAreSubtotals="1" fieldPosition="0"/>
    </format>
    <format dxfId="233">
      <pivotArea field="0" type="button" dataOnly="0" labelOnly="1" outline="0" axis="axisRow" fieldPosition="0"/>
    </format>
    <format dxfId="232">
      <pivotArea dataOnly="0" labelOnly="1" fieldPosition="0">
        <references count="1">
          <reference field="0" count="0"/>
        </references>
      </pivotArea>
    </format>
    <format dxfId="231">
      <pivotArea dataOnly="0" labelOnly="1" fieldPosition="0">
        <references count="2">
          <reference field="0" count="1" selected="0">
            <x v="0"/>
          </reference>
          <reference field="4" count="2">
            <x v="3"/>
            <x v="8"/>
          </reference>
        </references>
      </pivotArea>
    </format>
    <format dxfId="230">
      <pivotArea dataOnly="0" labelOnly="1" fieldPosition="0">
        <references count="2">
          <reference field="0" count="1" selected="0">
            <x v="1"/>
          </reference>
          <reference field="4" count="10">
            <x v="0"/>
            <x v="1"/>
            <x v="6"/>
            <x v="10"/>
            <x v="11"/>
            <x v="12"/>
            <x v="13"/>
            <x v="14"/>
            <x v="15"/>
            <x v="16"/>
          </reference>
        </references>
      </pivotArea>
    </format>
    <format dxfId="229">
      <pivotArea dataOnly="0" labelOnly="1" fieldPosition="0">
        <references count="2">
          <reference field="0" count="1" selected="0">
            <x v="2"/>
          </reference>
          <reference field="4" count="4">
            <x v="4"/>
            <x v="7"/>
            <x v="9"/>
            <x v="17"/>
          </reference>
        </references>
      </pivotArea>
    </format>
    <format dxfId="228">
      <pivotArea dataOnly="0" labelOnly="1" fieldPosition="0">
        <references count="2">
          <reference field="0" count="1" selected="0">
            <x v="3"/>
          </reference>
          <reference field="4" count="2">
            <x v="2"/>
            <x v="5"/>
          </reference>
        </references>
      </pivotArea>
    </format>
    <format dxfId="227">
      <pivotArea dataOnly="0" labelOnly="1" outline="0" fieldPosition="0">
        <references count="1">
          <reference field="4294967294" count="3">
            <x v="0"/>
            <x v="1"/>
            <x v="2"/>
          </reference>
        </references>
      </pivotArea>
    </format>
    <format dxfId="226">
      <pivotArea dataOnly="0" labelOnly="1" outline="0" fieldPosition="0">
        <references count="1">
          <reference field="4294967294" count="3">
            <x v="0"/>
            <x v="1"/>
            <x v="2"/>
          </reference>
        </references>
      </pivotArea>
    </format>
  </formats>
  <chartFormats count="6">
    <chartFormat chart="18" format="79" series="1">
      <pivotArea type="data" outline="0" fieldPosition="0">
        <references count="2">
          <reference field="4294967294" count="1" selected="0">
            <x v="0"/>
          </reference>
          <reference field="54" count="1" selected="0">
            <x v="0"/>
          </reference>
        </references>
      </pivotArea>
    </chartFormat>
    <chartFormat chart="18" format="80" series="1">
      <pivotArea type="data" outline="0" fieldPosition="0">
        <references count="2">
          <reference field="4294967294" count="1" selected="0">
            <x v="1"/>
          </reference>
          <reference field="54" count="1" selected="0">
            <x v="0"/>
          </reference>
        </references>
      </pivotArea>
    </chartFormat>
    <chartFormat chart="18" format="81" series="1">
      <pivotArea type="data" outline="0" fieldPosition="0">
        <references count="2">
          <reference field="4294967294" count="1" selected="0">
            <x v="2"/>
          </reference>
          <reference field="54" count="1" selected="0">
            <x v="0"/>
          </reference>
        </references>
      </pivotArea>
    </chartFormat>
    <chartFormat chart="18" format="82" series="1">
      <pivotArea type="data" outline="0" fieldPosition="0">
        <references count="2">
          <reference field="4294967294" count="1" selected="0">
            <x v="0"/>
          </reference>
          <reference field="54" count="1" selected="0">
            <x v="1"/>
          </reference>
        </references>
      </pivotArea>
    </chartFormat>
    <chartFormat chart="18" format="83" series="1">
      <pivotArea type="data" outline="0" fieldPosition="0">
        <references count="2">
          <reference field="4294967294" count="1" selected="0">
            <x v="1"/>
          </reference>
          <reference field="54" count="1" selected="0">
            <x v="1"/>
          </reference>
        </references>
      </pivotArea>
    </chartFormat>
    <chartFormat chart="18" format="84" series="1">
      <pivotArea type="data" outline="0" fieldPosition="0">
        <references count="2">
          <reference field="4294967294" count="1" selected="0">
            <x v="2"/>
          </reference>
          <reference field="54" count="1" selected="0">
            <x v="1"/>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3F36A4E6-731C-4657-B3BC-5FA96898AA97}" name="Pivot_Massen" cacheId="0" applyNumberFormats="0" applyBorderFormats="0" applyFontFormats="0" applyPatternFormats="0" applyAlignmentFormats="0" applyWidthHeightFormats="1" dataCaption="Werte" updatedVersion="8" minRefreshableVersion="3" useAutoFormatting="1" rowGrandTotals="0" colGrandTotals="0" itemPrintTitles="1" createdVersion="8" indent="0" outline="1" outlineData="1" multipleFieldFilters="0" chartFormat="39">
  <location ref="A31:D59" firstHeaderRow="0" firstDataRow="1" firstDataCol="1" rowPageCount="1" colPageCount="1"/>
  <pivotFields count="57">
    <pivotField axis="axisRow" showAll="0" defaultSubtotal="0">
      <items count="54">
        <item x="0"/>
        <item x="1"/>
        <item x="2"/>
        <item x="3"/>
        <item m="1" x="6"/>
        <item m="1" x="7"/>
        <item m="1" x="8"/>
        <item m="1" x="9"/>
        <item m="1" x="10"/>
        <item m="1" x="11"/>
        <item m="1" x="12"/>
        <item m="1" x="13"/>
        <item m="1" x="14"/>
        <item m="1" x="15"/>
        <item m="1" x="16"/>
        <item m="1" x="17"/>
        <item m="1" x="18"/>
        <item m="1" x="19"/>
        <item m="1" x="20"/>
        <item m="1" x="21"/>
        <item m="1" x="22"/>
        <item m="1" x="23"/>
        <item m="1" x="24"/>
        <item m="1" x="25"/>
        <item m="1" x="26"/>
        <item m="1" x="27"/>
        <item m="1" x="28"/>
        <item m="1" x="29"/>
        <item m="1" x="30"/>
        <item m="1" x="31"/>
        <item m="1" x="32"/>
        <item m="1" x="33"/>
        <item m="1" x="34"/>
        <item m="1" x="35"/>
        <item m="1" x="36"/>
        <item m="1" x="37"/>
        <item m="1" x="38"/>
        <item m="1" x="39"/>
        <item m="1" x="40"/>
        <item m="1" x="41"/>
        <item m="1" x="42"/>
        <item m="1" x="43"/>
        <item m="1" x="44"/>
        <item m="1" x="45"/>
        <item m="1" x="46"/>
        <item m="1" x="47"/>
        <item m="1" x="48"/>
        <item m="1" x="49"/>
        <item m="1" x="50"/>
        <item m="1" x="51"/>
        <item m="1" x="52"/>
        <item m="1" x="53"/>
        <item x="4"/>
        <item x="5"/>
      </items>
    </pivotField>
    <pivotField showAll="0" defaultSubtotal="0"/>
    <pivotField showAll="0" defaultSubtotal="0"/>
    <pivotField showAll="0" defaultSubtotal="0"/>
    <pivotField axis="axisRow" showAll="0" defaultSubtotal="0">
      <items count="75">
        <item x="10"/>
        <item x="2"/>
        <item x="16"/>
        <item x="1"/>
        <item x="14"/>
        <item x="15"/>
        <item x="4"/>
        <item x="13"/>
        <item x="0"/>
        <item x="12"/>
        <item x="5"/>
        <item x="3"/>
        <item x="6"/>
        <item x="7"/>
        <item x="8"/>
        <item x="9"/>
        <item x="11"/>
        <item m="1" x="74"/>
        <item m="1" x="73"/>
        <item m="1" x="72"/>
        <item m="1" x="71"/>
        <item m="1" x="36"/>
        <item m="1" x="37"/>
        <item m="1" x="38"/>
        <item m="1" x="39"/>
        <item m="1" x="40"/>
        <item m="1" x="41"/>
        <item m="1" x="42"/>
        <item m="1" x="43"/>
        <item m="1" x="44"/>
        <item m="1" x="45"/>
        <item m="1" x="46"/>
        <item m="1" x="47"/>
        <item m="1" x="48"/>
        <item m="1" x="49"/>
        <item m="1" x="50"/>
        <item m="1" x="51"/>
        <item m="1" x="52"/>
        <item m="1" x="53"/>
        <item m="1" x="54"/>
        <item m="1" x="55"/>
        <item m="1" x="56"/>
        <item m="1" x="57"/>
        <item m="1" x="58"/>
        <item m="1" x="59"/>
        <item m="1" x="60"/>
        <item m="1" x="61"/>
        <item m="1" x="62"/>
        <item m="1" x="63"/>
        <item m="1" x="64"/>
        <item m="1" x="65"/>
        <item m="1" x="66"/>
        <item m="1" x="67"/>
        <item m="1" x="68"/>
        <item m="1" x="69"/>
        <item m="1" x="70"/>
        <item m="1" x="35"/>
        <item m="1" x="33"/>
        <item m="1" x="34"/>
        <item m="1" x="31"/>
        <item m="1" x="32"/>
        <item m="1" x="29"/>
        <item m="1" x="30"/>
        <item m="1" x="25"/>
        <item m="1" x="26"/>
        <item m="1" x="27"/>
        <item m="1" x="28"/>
        <item m="1" x="24"/>
        <item x="17"/>
        <item x="18"/>
        <item x="19"/>
        <item x="20"/>
        <item m="1" x="23"/>
        <item x="21"/>
        <item m="1" x="22"/>
      </items>
    </pivotField>
    <pivotField showAll="0" defaultSubtotal="0"/>
    <pivotField showAll="0" defaultSubtotal="0"/>
    <pivotField showAll="0" defaultSubtotal="0"/>
    <pivotField showAll="0" defaultSubtotal="0"/>
    <pivotField subtotalTop="0" showAll="0" defaultSubtotal="0"/>
    <pivotField subtotalTop="0" showAll="0" defaultSubtotal="0"/>
    <pivotField showAll="0" defaultSubtotal="0"/>
    <pivotField showAll="0" defaultSubtotal="0"/>
    <pivotField showAll="0" defaultSubtotal="0"/>
    <pivotField subtotalTop="0" showAll="0" defaultSubtotal="0"/>
    <pivotField subtotalTop="0" showAll="0" defaultSubtotal="0"/>
    <pivotField dataField="1" showAll="0" defaultSubtotal="0"/>
    <pivotField dataField="1" subtotalTop="0" showAll="0" defaultSubtotal="0"/>
    <pivotField dataField="1" subtotalTop="0"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ubtotalTop="0" showAll="0" defaultSubtotal="0"/>
    <pivotField subtotalTop="0" showAll="0" defaultSubtotal="0"/>
    <pivotField showAll="0" defaultSubtotal="0"/>
    <pivotField subtotalTop="0" showAll="0" defaultSubtotal="0"/>
    <pivotField subtotalTop="0" showAll="0" defaultSubtotal="0"/>
    <pivotField showAll="0" defaultSubtotal="0"/>
    <pivotField subtotalTop="0" showAll="0" defaultSubtotal="0"/>
    <pivotField subtotalTop="0" showAll="0" defaultSubtotal="0"/>
    <pivotField showAll="0" defaultSubtotal="0"/>
    <pivotField subtotalTop="0" showAll="0" defaultSubtotal="0"/>
    <pivotField subtotalTop="0" showAll="0" defaultSubtotal="0"/>
    <pivotField showAll="0" defaultSubtotal="0"/>
    <pivotField subtotalTop="0" showAll="0" defaultSubtotal="0"/>
    <pivotField subtotalTop="0" showAll="0" defaultSubtotal="0"/>
    <pivotField showAll="0" defaultSubtotal="0"/>
    <pivotField subtotalTop="0" showAll="0" defaultSubtotal="0"/>
    <pivotField subtotalTop="0" showAll="0" defaultSubtotal="0"/>
    <pivotField showAll="0" defaultSubtotal="0"/>
    <pivotField subtotalTop="0" showAll="0" defaultSubtotal="0"/>
    <pivotField subtotalTop="0" showAll="0" defaultSubtotal="0"/>
    <pivotField showAll="0" defaultSubtotal="0"/>
    <pivotField subtotalTop="0" showAll="0" defaultSubtotal="0"/>
    <pivotField subtotalTop="0" showAll="0" defaultSubtotal="0"/>
    <pivotField subtotalTop="0" showAll="0" defaultSubtotal="0"/>
    <pivotField subtotalTop="0" showAll="0" defaultSubtotal="0"/>
    <pivotField subtotalTop="0" showAll="0" defaultSubtotal="0"/>
    <pivotField subtotalTop="0" showAll="0" defaultSubtotal="0"/>
    <pivotField axis="axisPage" subtotalTop="0" multipleItemSelectionAllowed="1" showAll="0" defaultSubtotal="0">
      <items count="19">
        <item h="1" m="1" x="14"/>
        <item h="1" m="1" x="6"/>
        <item h="1" m="1" x="4"/>
        <item h="1" m="1" x="11"/>
        <item h="1" m="1" x="15"/>
        <item h="1" m="1" x="9"/>
        <item h="1" m="1" x="13"/>
        <item h="1" m="1" x="17"/>
        <item h="1" m="1" x="8"/>
        <item h="1" m="1" x="3"/>
        <item h="1" m="1" x="16"/>
        <item h="1" m="1" x="2"/>
        <item h="1" m="1" x="10"/>
        <item h="1" m="1" x="18"/>
        <item h="1" m="1" x="5"/>
        <item h="1" m="1" x="12"/>
        <item h="1" m="1" x="7"/>
        <item x="0"/>
        <item x="1"/>
      </items>
    </pivotField>
    <pivotField subtotalTop="0" showAll="0" defaultSubtotal="0"/>
    <pivotField subtotalTop="0" showAll="0" defaultSubtotal="0"/>
  </pivotFields>
  <rowFields count="2">
    <field x="0"/>
    <field x="4"/>
  </rowFields>
  <rowItems count="28">
    <i>
      <x/>
    </i>
    <i r="1">
      <x v="3"/>
    </i>
    <i r="1">
      <x v="8"/>
    </i>
    <i>
      <x v="1"/>
    </i>
    <i r="1">
      <x/>
    </i>
    <i r="1">
      <x v="1"/>
    </i>
    <i r="1">
      <x v="6"/>
    </i>
    <i r="1">
      <x v="10"/>
    </i>
    <i r="1">
      <x v="11"/>
    </i>
    <i r="1">
      <x v="12"/>
    </i>
    <i r="1">
      <x v="13"/>
    </i>
    <i r="1">
      <x v="14"/>
    </i>
    <i r="1">
      <x v="15"/>
    </i>
    <i r="1">
      <x v="16"/>
    </i>
    <i r="1">
      <x v="68"/>
    </i>
    <i r="1">
      <x v="69"/>
    </i>
    <i>
      <x v="2"/>
    </i>
    <i r="1">
      <x v="4"/>
    </i>
    <i r="1">
      <x v="7"/>
    </i>
    <i r="1">
      <x v="9"/>
    </i>
    <i>
      <x v="3"/>
    </i>
    <i r="1">
      <x v="2"/>
    </i>
    <i r="1">
      <x v="5"/>
    </i>
    <i>
      <x v="52"/>
    </i>
    <i r="1">
      <x v="70"/>
    </i>
    <i r="1">
      <x v="71"/>
    </i>
    <i>
      <x v="53"/>
    </i>
    <i r="1">
      <x v="73"/>
    </i>
  </rowItems>
  <colFields count="1">
    <field x="-2"/>
  </colFields>
  <colItems count="3">
    <i>
      <x/>
    </i>
    <i i="1">
      <x v="1"/>
    </i>
    <i i="2">
      <x v="2"/>
    </i>
  </colItems>
  <pageFields count="1">
    <pageField fld="54" hier="-1"/>
  </pageFields>
  <dataFields count="3">
    <dataField name="  Masse [kg/m²] min" fld="17" baseField="0" baseItem="0"/>
    <dataField name="  Masse [kg/m²] Referenz" fld="16" baseField="0" baseItem="0"/>
    <dataField name="  Masse [kg/m²] max" fld="18" baseField="0" baseItem="0"/>
  </dataFields>
  <formats count="18">
    <format dxfId="262">
      <pivotArea collapsedLevelsAreSubtotals="1" fieldPosition="0">
        <references count="1">
          <reference field="0" count="1">
            <x v="0"/>
          </reference>
        </references>
      </pivotArea>
    </format>
    <format dxfId="261">
      <pivotArea collapsedLevelsAreSubtotals="1" fieldPosition="0">
        <references count="2">
          <reference field="0" count="1" selected="0">
            <x v="0"/>
          </reference>
          <reference field="4" count="2">
            <x v="3"/>
            <x v="8"/>
          </reference>
        </references>
      </pivotArea>
    </format>
    <format dxfId="260">
      <pivotArea collapsedLevelsAreSubtotals="1" fieldPosition="0">
        <references count="1">
          <reference field="0" count="1">
            <x v="1"/>
          </reference>
        </references>
      </pivotArea>
    </format>
    <format dxfId="259">
      <pivotArea collapsedLevelsAreSubtotals="1" fieldPosition="0">
        <references count="2">
          <reference field="0" count="1" selected="0">
            <x v="1"/>
          </reference>
          <reference field="4" count="10">
            <x v="0"/>
            <x v="1"/>
            <x v="6"/>
            <x v="10"/>
            <x v="11"/>
            <x v="12"/>
            <x v="13"/>
            <x v="14"/>
            <x v="15"/>
            <x v="16"/>
          </reference>
        </references>
      </pivotArea>
    </format>
    <format dxfId="258">
      <pivotArea collapsedLevelsAreSubtotals="1" fieldPosition="0">
        <references count="1">
          <reference field="0" count="1">
            <x v="2"/>
          </reference>
        </references>
      </pivotArea>
    </format>
    <format dxfId="257">
      <pivotArea collapsedLevelsAreSubtotals="1" fieldPosition="0">
        <references count="2">
          <reference field="0" count="1" selected="0">
            <x v="2"/>
          </reference>
          <reference field="4" count="3">
            <x v="4"/>
            <x v="7"/>
            <x v="9"/>
          </reference>
        </references>
      </pivotArea>
    </format>
    <format dxfId="256">
      <pivotArea collapsedLevelsAreSubtotals="1" fieldPosition="0">
        <references count="1">
          <reference field="0" count="1">
            <x v="3"/>
          </reference>
        </references>
      </pivotArea>
    </format>
    <format dxfId="255">
      <pivotArea collapsedLevelsAreSubtotals="1" fieldPosition="0">
        <references count="2">
          <reference field="0" count="1" selected="0">
            <x v="3"/>
          </reference>
          <reference field="4" count="2">
            <x v="2"/>
            <x v="5"/>
          </reference>
        </references>
      </pivotArea>
    </format>
    <format dxfId="254">
      <pivotArea outline="0" collapsedLevelsAreSubtotals="1" fieldPosition="0"/>
    </format>
    <format dxfId="253">
      <pivotArea type="all" dataOnly="0" outline="0" fieldPosition="0"/>
    </format>
    <format dxfId="252">
      <pivotArea outline="0" collapsedLevelsAreSubtotals="1" fieldPosition="0"/>
    </format>
    <format dxfId="251">
      <pivotArea field="0" type="button" dataOnly="0" labelOnly="1" outline="0" axis="axisRow" fieldPosition="0"/>
    </format>
    <format dxfId="250">
      <pivotArea dataOnly="0" labelOnly="1" fieldPosition="0">
        <references count="1">
          <reference field="0" count="0"/>
        </references>
      </pivotArea>
    </format>
    <format dxfId="249">
      <pivotArea dataOnly="0" labelOnly="1" fieldPosition="0">
        <references count="2">
          <reference field="0" count="1" selected="0">
            <x v="0"/>
          </reference>
          <reference field="4" count="2">
            <x v="3"/>
            <x v="8"/>
          </reference>
        </references>
      </pivotArea>
    </format>
    <format dxfId="248">
      <pivotArea dataOnly="0" labelOnly="1" fieldPosition="0">
        <references count="2">
          <reference field="0" count="1" selected="0">
            <x v="1"/>
          </reference>
          <reference field="4" count="10">
            <x v="0"/>
            <x v="1"/>
            <x v="6"/>
            <x v="10"/>
            <x v="11"/>
            <x v="12"/>
            <x v="13"/>
            <x v="14"/>
            <x v="15"/>
            <x v="16"/>
          </reference>
        </references>
      </pivotArea>
    </format>
    <format dxfId="247">
      <pivotArea dataOnly="0" labelOnly="1" fieldPosition="0">
        <references count="2">
          <reference field="0" count="1" selected="0">
            <x v="2"/>
          </reference>
          <reference field="4" count="4">
            <x v="4"/>
            <x v="7"/>
            <x v="9"/>
            <x v="17"/>
          </reference>
        </references>
      </pivotArea>
    </format>
    <format dxfId="246">
      <pivotArea dataOnly="0" labelOnly="1" fieldPosition="0">
        <references count="2">
          <reference field="0" count="1" selected="0">
            <x v="3"/>
          </reference>
          <reference field="4" count="2">
            <x v="2"/>
            <x v="5"/>
          </reference>
        </references>
      </pivotArea>
    </format>
    <format dxfId="245">
      <pivotArea dataOnly="0" labelOnly="1" outline="0" fieldPosition="0">
        <references count="1">
          <reference field="4294967294" count="3">
            <x v="0"/>
            <x v="1"/>
            <x v="2"/>
          </reference>
        </references>
      </pivotArea>
    </format>
  </formats>
  <chartFormats count="5">
    <chartFormat chart="9" format="29" series="1">
      <pivotArea type="data" outline="0" fieldPosition="0">
        <references count="1">
          <reference field="4294967294" count="1" selected="0">
            <x v="1"/>
          </reference>
        </references>
      </pivotArea>
    </chartFormat>
    <chartFormat chart="25" format="36" series="1">
      <pivotArea type="data" outline="0" fieldPosition="0">
        <references count="1">
          <reference field="4294967294" count="1" selected="0">
            <x v="1"/>
          </reference>
        </references>
      </pivotArea>
    </chartFormat>
    <chartFormat chart="33" format="31" series="1">
      <pivotArea type="data" outline="0" fieldPosition="0">
        <references count="1">
          <reference field="4294967294" count="1" selected="0">
            <x v="0"/>
          </reference>
        </references>
      </pivotArea>
    </chartFormat>
    <chartFormat chart="33" format="32" series="1">
      <pivotArea type="data" outline="0" fieldPosition="0">
        <references count="1">
          <reference field="4294967294" count="1" selected="0">
            <x v="1"/>
          </reference>
        </references>
      </pivotArea>
    </chartFormat>
    <chartFormat chart="33" format="33" series="1">
      <pivotArea type="data" outline="0" fieldPosition="0">
        <references count="1">
          <reference field="4294967294" count="1" selected="0">
            <x v="2"/>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EFECF411-ADBB-4D60-80FB-640E89057FC4}" name="Pivot_norm" cacheId="0" applyNumberFormats="0" applyBorderFormats="0" applyFontFormats="0" applyPatternFormats="0" applyAlignmentFormats="0" applyWidthHeightFormats="1" dataCaption="Werte" updatedVersion="8" minRefreshableVersion="3" useAutoFormatting="1" rowGrandTotals="0" colGrandTotals="0" itemPrintTitles="1" createdVersion="8" indent="0" outline="1" outlineData="1" multipleFieldFilters="0" chartFormat="45">
  <location ref="F13:I41" firstHeaderRow="0" firstDataRow="1" firstDataCol="1"/>
  <pivotFields count="57">
    <pivotField axis="axisRow" showAll="0" defaultSubtotal="0">
      <items count="54">
        <item x="0"/>
        <item x="1"/>
        <item x="2"/>
        <item x="3"/>
        <item m="1" x="6"/>
        <item m="1" x="7"/>
        <item m="1" x="8"/>
        <item m="1" x="9"/>
        <item m="1" x="10"/>
        <item m="1" x="11"/>
        <item m="1" x="12"/>
        <item m="1" x="13"/>
        <item m="1" x="14"/>
        <item m="1" x="15"/>
        <item m="1" x="16"/>
        <item m="1" x="17"/>
        <item m="1" x="18"/>
        <item m="1" x="19"/>
        <item m="1" x="20"/>
        <item m="1" x="21"/>
        <item m="1" x="22"/>
        <item m="1" x="23"/>
        <item m="1" x="24"/>
        <item m="1" x="25"/>
        <item m="1" x="26"/>
        <item m="1" x="27"/>
        <item m="1" x="28"/>
        <item m="1" x="29"/>
        <item m="1" x="30"/>
        <item m="1" x="31"/>
        <item m="1" x="32"/>
        <item m="1" x="33"/>
        <item m="1" x="34"/>
        <item m="1" x="35"/>
        <item m="1" x="36"/>
        <item m="1" x="37"/>
        <item m="1" x="38"/>
        <item m="1" x="39"/>
        <item m="1" x="40"/>
        <item m="1" x="41"/>
        <item m="1" x="42"/>
        <item m="1" x="43"/>
        <item m="1" x="44"/>
        <item m="1" x="45"/>
        <item m="1" x="46"/>
        <item m="1" x="47"/>
        <item m="1" x="48"/>
        <item m="1" x="49"/>
        <item m="1" x="50"/>
        <item m="1" x="51"/>
        <item m="1" x="52"/>
        <item m="1" x="53"/>
        <item x="4"/>
        <item x="5"/>
      </items>
    </pivotField>
    <pivotField showAll="0" defaultSubtotal="0"/>
    <pivotField showAll="0" defaultSubtotal="0"/>
    <pivotField showAll="0" defaultSubtotal="0"/>
    <pivotField axis="axisRow" showAll="0" defaultSubtotal="0">
      <items count="75">
        <item x="10"/>
        <item x="2"/>
        <item x="16"/>
        <item x="1"/>
        <item x="14"/>
        <item x="15"/>
        <item x="4"/>
        <item x="13"/>
        <item x="0"/>
        <item x="12"/>
        <item x="5"/>
        <item x="3"/>
        <item x="6"/>
        <item x="7"/>
        <item x="8"/>
        <item x="9"/>
        <item x="11"/>
        <item m="1" x="74"/>
        <item m="1" x="73"/>
        <item m="1" x="72"/>
        <item m="1" x="71"/>
        <item m="1" x="36"/>
        <item m="1" x="37"/>
        <item m="1" x="38"/>
        <item m="1" x="39"/>
        <item m="1" x="40"/>
        <item m="1" x="41"/>
        <item m="1" x="42"/>
        <item m="1" x="43"/>
        <item m="1" x="44"/>
        <item m="1" x="45"/>
        <item m="1" x="46"/>
        <item m="1" x="47"/>
        <item m="1" x="48"/>
        <item m="1" x="49"/>
        <item m="1" x="50"/>
        <item m="1" x="51"/>
        <item m="1" x="52"/>
        <item m="1" x="53"/>
        <item m="1" x="54"/>
        <item m="1" x="55"/>
        <item m="1" x="56"/>
        <item m="1" x="57"/>
        <item m="1" x="58"/>
        <item m="1" x="59"/>
        <item m="1" x="60"/>
        <item m="1" x="61"/>
        <item m="1" x="62"/>
        <item m="1" x="63"/>
        <item m="1" x="64"/>
        <item m="1" x="65"/>
        <item m="1" x="66"/>
        <item m="1" x="67"/>
        <item m="1" x="68"/>
        <item m="1" x="69"/>
        <item m="1" x="70"/>
        <item m="1" x="35"/>
        <item m="1" x="33"/>
        <item m="1" x="34"/>
        <item m="1" x="31"/>
        <item m="1" x="32"/>
        <item m="1" x="29"/>
        <item m="1" x="30"/>
        <item m="1" x="25"/>
        <item m="1" x="26"/>
        <item m="1" x="27"/>
        <item m="1" x="28"/>
        <item m="1" x="24"/>
        <item x="17"/>
        <item x="18"/>
        <item x="19"/>
        <item x="20"/>
        <item m="1" x="23"/>
        <item x="21"/>
        <item m="1" x="22"/>
      </items>
    </pivotField>
    <pivotField showAll="0" defaultSubtotal="0"/>
    <pivotField showAll="0" defaultSubtotal="0"/>
    <pivotField showAll="0" defaultSubtotal="0"/>
    <pivotField showAll="0" defaultSubtotal="0"/>
    <pivotField subtotalTop="0" showAll="0" defaultSubtotal="0"/>
    <pivotField subtotalTop="0" showAll="0" defaultSubtotal="0"/>
    <pivotField showAll="0" defaultSubtotal="0"/>
    <pivotField showAll="0" defaultSubtotal="0"/>
    <pivotField showAll="0" defaultSubtotal="0"/>
    <pivotField subtotalTop="0" showAll="0" defaultSubtotal="0"/>
    <pivotField subtotalTop="0" showAll="0" defaultSubtotal="0"/>
    <pivotField showAll="0" defaultSubtotal="0"/>
    <pivotField subtotalTop="0" showAll="0" defaultSubtotal="0"/>
    <pivotField subtotalTop="0"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ubtotalTop="0" showAll="0" defaultSubtotal="0"/>
    <pivotField subtotalTop="0" showAll="0" defaultSubtotal="0"/>
    <pivotField showAll="0" defaultSubtotal="0"/>
    <pivotField subtotalTop="0" showAll="0" defaultSubtotal="0"/>
    <pivotField subtotalTop="0" showAll="0" defaultSubtotal="0"/>
    <pivotField showAll="0" defaultSubtotal="0"/>
    <pivotField subtotalTop="0" showAll="0" defaultSubtotal="0"/>
    <pivotField subtotalTop="0" showAll="0" defaultSubtotal="0"/>
    <pivotField showAll="0" defaultSubtotal="0"/>
    <pivotField subtotalTop="0" showAll="0" defaultSubtotal="0"/>
    <pivotField subtotalTop="0" showAll="0" defaultSubtotal="0"/>
    <pivotField showAll="0" defaultSubtotal="0"/>
    <pivotField subtotalTop="0" showAll="0" defaultSubtotal="0"/>
    <pivotField subtotalTop="0" showAll="0" defaultSubtotal="0"/>
    <pivotField showAll="0" defaultSubtotal="0"/>
    <pivotField subtotalTop="0" showAll="0" defaultSubtotal="0"/>
    <pivotField subtotalTop="0" showAll="0" defaultSubtotal="0"/>
    <pivotField dataField="1" showAll="0" defaultSubtotal="0"/>
    <pivotField dataField="1" subtotalTop="0" showAll="0" defaultSubtotal="0"/>
    <pivotField dataField="1" subtotalTop="0" showAll="0" defaultSubtotal="0"/>
    <pivotField showAll="0" defaultSubtotal="0"/>
    <pivotField subtotalTop="0" showAll="0" defaultSubtotal="0"/>
    <pivotField subtotalTop="0" showAll="0" defaultSubtotal="0"/>
    <pivotField subtotalTop="0" showAll="0" defaultSubtotal="0"/>
    <pivotField subtotalTop="0" showAll="0" defaultSubtotal="0"/>
    <pivotField subtotalTop="0" showAll="0" defaultSubtotal="0"/>
    <pivotField subtotalTop="0" showAll="0" defaultSubtotal="0"/>
    <pivotField subtotalTop="0" showAll="0" defaultSubtotal="0">
      <items count="19">
        <item h="1" m="1" x="14"/>
        <item h="1" m="1" x="6"/>
        <item h="1" m="1" x="4"/>
        <item h="1" m="1" x="11"/>
        <item h="1" m="1" x="15"/>
        <item h="1" m="1" x="9"/>
        <item h="1" m="1" x="13"/>
        <item h="1" m="1" x="17"/>
        <item h="1" m="1" x="8"/>
        <item h="1" m="1" x="3"/>
        <item h="1" m="1" x="16"/>
        <item h="1" m="1" x="2"/>
        <item h="1" m="1" x="10"/>
        <item h="1" m="1" x="18"/>
        <item h="1" m="1" x="5"/>
        <item h="1" m="1" x="12"/>
        <item h="1" m="1" x="7"/>
        <item x="0"/>
        <item x="1"/>
      </items>
    </pivotField>
    <pivotField subtotalTop="0" showAll="0" defaultSubtotal="0"/>
    <pivotField subtotalTop="0" showAll="0" defaultSubtotal="0"/>
  </pivotFields>
  <rowFields count="2">
    <field x="0"/>
    <field x="4"/>
  </rowFields>
  <rowItems count="28">
    <i>
      <x/>
    </i>
    <i r="1">
      <x v="3"/>
    </i>
    <i r="1">
      <x v="8"/>
    </i>
    <i>
      <x v="1"/>
    </i>
    <i r="1">
      <x/>
    </i>
    <i r="1">
      <x v="1"/>
    </i>
    <i r="1">
      <x v="6"/>
    </i>
    <i r="1">
      <x v="10"/>
    </i>
    <i r="1">
      <x v="11"/>
    </i>
    <i r="1">
      <x v="12"/>
    </i>
    <i r="1">
      <x v="13"/>
    </i>
    <i r="1">
      <x v="14"/>
    </i>
    <i r="1">
      <x v="15"/>
    </i>
    <i r="1">
      <x v="16"/>
    </i>
    <i r="1">
      <x v="68"/>
    </i>
    <i r="1">
      <x v="69"/>
    </i>
    <i>
      <x v="2"/>
    </i>
    <i r="1">
      <x v="4"/>
    </i>
    <i r="1">
      <x v="7"/>
    </i>
    <i r="1">
      <x v="9"/>
    </i>
    <i>
      <x v="3"/>
    </i>
    <i r="1">
      <x v="2"/>
    </i>
    <i r="1">
      <x v="5"/>
    </i>
    <i>
      <x v="52"/>
    </i>
    <i r="1">
      <x v="70"/>
    </i>
    <i r="1">
      <x v="71"/>
    </i>
    <i>
      <x v="53"/>
    </i>
    <i r="1">
      <x v="73"/>
    </i>
  </rowItems>
  <colFields count="1">
    <field x="-2"/>
  </colFields>
  <colItems count="3">
    <i>
      <x/>
    </i>
    <i i="1">
      <x v="1"/>
    </i>
    <i i="2">
      <x v="2"/>
    </i>
  </colItems>
  <dataFields count="3">
    <dataField name="  Normierter Wert min" fld="45" baseField="0" baseItem="0"/>
    <dataField name="  Normierter Wert Referenz" fld="44" baseField="4" baseItem="5"/>
    <dataField name="  Normierter Wert max" fld="46" baseField="0" baseItem="0"/>
  </dataFields>
  <formats count="23">
    <format dxfId="285">
      <pivotArea collapsedLevelsAreSubtotals="1" fieldPosition="0">
        <references count="1">
          <reference field="0" count="1">
            <x v="0"/>
          </reference>
        </references>
      </pivotArea>
    </format>
    <format dxfId="284">
      <pivotArea collapsedLevelsAreSubtotals="1" fieldPosition="0">
        <references count="2">
          <reference field="0" count="1" selected="0">
            <x v="0"/>
          </reference>
          <reference field="4" count="2">
            <x v="3"/>
            <x v="8"/>
          </reference>
        </references>
      </pivotArea>
    </format>
    <format dxfId="283">
      <pivotArea collapsedLevelsAreSubtotals="1" fieldPosition="0">
        <references count="1">
          <reference field="0" count="1">
            <x v="1"/>
          </reference>
        </references>
      </pivotArea>
    </format>
    <format dxfId="282">
      <pivotArea collapsedLevelsAreSubtotals="1" fieldPosition="0">
        <references count="2">
          <reference field="0" count="1" selected="0">
            <x v="1"/>
          </reference>
          <reference field="4" count="10">
            <x v="0"/>
            <x v="1"/>
            <x v="6"/>
            <x v="10"/>
            <x v="11"/>
            <x v="12"/>
            <x v="13"/>
            <x v="14"/>
            <x v="15"/>
            <x v="16"/>
          </reference>
        </references>
      </pivotArea>
    </format>
    <format dxfId="281">
      <pivotArea collapsedLevelsAreSubtotals="1" fieldPosition="0">
        <references count="1">
          <reference field="0" count="1">
            <x v="2"/>
          </reference>
        </references>
      </pivotArea>
    </format>
    <format dxfId="280">
      <pivotArea collapsedLevelsAreSubtotals="1" fieldPosition="0">
        <references count="2">
          <reference field="0" count="1" selected="0">
            <x v="2"/>
          </reference>
          <reference field="4" count="3">
            <x v="4"/>
            <x v="7"/>
            <x v="9"/>
          </reference>
        </references>
      </pivotArea>
    </format>
    <format dxfId="279">
      <pivotArea collapsedLevelsAreSubtotals="1" fieldPosition="0">
        <references count="1">
          <reference field="0" count="1">
            <x v="3"/>
          </reference>
        </references>
      </pivotArea>
    </format>
    <format dxfId="278">
      <pivotArea collapsedLevelsAreSubtotals="1" fieldPosition="0">
        <references count="2">
          <reference field="0" count="1" selected="0">
            <x v="3"/>
          </reference>
          <reference field="4" count="2">
            <x v="2"/>
            <x v="5"/>
          </reference>
        </references>
      </pivotArea>
    </format>
    <format dxfId="277">
      <pivotArea dataOnly="0" labelOnly="1" outline="0" fieldPosition="0">
        <references count="1">
          <reference field="4294967294" count="1">
            <x v="1"/>
          </reference>
        </references>
      </pivotArea>
    </format>
    <format dxfId="276">
      <pivotArea type="all" dataOnly="0" outline="0" fieldPosition="0"/>
    </format>
    <format dxfId="275">
      <pivotArea outline="0" collapsedLevelsAreSubtotals="1" fieldPosition="0"/>
    </format>
    <format dxfId="274">
      <pivotArea field="0" type="button" dataOnly="0" labelOnly="1" outline="0" axis="axisRow" fieldPosition="0"/>
    </format>
    <format dxfId="273">
      <pivotArea dataOnly="0" labelOnly="1" fieldPosition="0">
        <references count="1">
          <reference field="0" count="0"/>
        </references>
      </pivotArea>
    </format>
    <format dxfId="272">
      <pivotArea dataOnly="0" labelOnly="1" grandRow="1" outline="0" fieldPosition="0"/>
    </format>
    <format dxfId="271">
      <pivotArea dataOnly="0" labelOnly="1" fieldPosition="0">
        <references count="2">
          <reference field="0" count="1" selected="0">
            <x v="0"/>
          </reference>
          <reference field="4" count="2">
            <x v="3"/>
            <x v="8"/>
          </reference>
        </references>
      </pivotArea>
    </format>
    <format dxfId="270">
      <pivotArea dataOnly="0" labelOnly="1" fieldPosition="0">
        <references count="2">
          <reference field="0" count="1" selected="0">
            <x v="1"/>
          </reference>
          <reference field="4" count="10">
            <x v="0"/>
            <x v="1"/>
            <x v="6"/>
            <x v="10"/>
            <x v="11"/>
            <x v="12"/>
            <x v="13"/>
            <x v="14"/>
            <x v="15"/>
            <x v="16"/>
          </reference>
        </references>
      </pivotArea>
    </format>
    <format dxfId="269">
      <pivotArea dataOnly="0" labelOnly="1" fieldPosition="0">
        <references count="2">
          <reference field="0" count="1" selected="0">
            <x v="2"/>
          </reference>
          <reference field="4" count="4">
            <x v="4"/>
            <x v="7"/>
            <x v="9"/>
            <x v="17"/>
          </reference>
        </references>
      </pivotArea>
    </format>
    <format dxfId="268">
      <pivotArea dataOnly="0" labelOnly="1" fieldPosition="0">
        <references count="2">
          <reference field="0" count="1" selected="0">
            <x v="3"/>
          </reference>
          <reference field="4" count="2">
            <x v="2"/>
            <x v="5"/>
          </reference>
        </references>
      </pivotArea>
    </format>
    <format dxfId="267">
      <pivotArea dataOnly="0" labelOnly="1" outline="0" fieldPosition="0">
        <references count="1">
          <reference field="4294967294" count="3">
            <x v="0"/>
            <x v="1"/>
            <x v="2"/>
          </reference>
        </references>
      </pivotArea>
    </format>
    <format dxfId="266">
      <pivotArea outline="0" collapsedLevelsAreSubtotals="1" fieldPosition="0">
        <references count="1">
          <reference field="4294967294" count="1" selected="0">
            <x v="1"/>
          </reference>
        </references>
      </pivotArea>
    </format>
    <format dxfId="265">
      <pivotArea dataOnly="0" labelOnly="1" outline="0" fieldPosition="0">
        <references count="1">
          <reference field="4294967294" count="1">
            <x v="1"/>
          </reference>
        </references>
      </pivotArea>
    </format>
    <format dxfId="264">
      <pivotArea collapsedLevelsAreSubtotals="1" fieldPosition="0">
        <references count="3">
          <reference field="4294967294" count="1" selected="0">
            <x v="1"/>
          </reference>
          <reference field="0" count="1" selected="0">
            <x v="1"/>
          </reference>
          <reference field="4" count="1">
            <x v="6"/>
          </reference>
        </references>
      </pivotArea>
    </format>
    <format dxfId="263">
      <pivotArea collapsedLevelsAreSubtotals="1" fieldPosition="0">
        <references count="3">
          <reference field="4294967294" count="1" selected="0">
            <x v="0"/>
          </reference>
          <reference field="0" count="1" selected="0">
            <x v="1"/>
          </reference>
          <reference field="4" count="1">
            <x v="11"/>
          </reference>
        </references>
      </pivotArea>
    </format>
  </formats>
  <chartFormats count="6">
    <chartFormat chart="21" format="38" series="1">
      <pivotArea type="data" outline="0" fieldPosition="0">
        <references count="1">
          <reference field="4294967294" count="1" selected="0">
            <x v="1"/>
          </reference>
        </references>
      </pivotArea>
    </chartFormat>
    <chartFormat chart="26" format="38" series="1">
      <pivotArea type="data" outline="0" fieldPosition="0">
        <references count="1">
          <reference field="4294967294" count="1" selected="0">
            <x v="1"/>
          </reference>
        </references>
      </pivotArea>
    </chartFormat>
    <chartFormat chart="27" format="41" series="1">
      <pivotArea type="data" outline="0" fieldPosition="0">
        <references count="1">
          <reference field="4294967294" count="1" selected="0">
            <x v="1"/>
          </reference>
        </references>
      </pivotArea>
    </chartFormat>
    <chartFormat chart="44" format="37" series="1">
      <pivotArea type="data" outline="0" fieldPosition="0">
        <references count="1">
          <reference field="4294967294" count="1" selected="0">
            <x v="0"/>
          </reference>
        </references>
      </pivotArea>
    </chartFormat>
    <chartFormat chart="44" format="38" series="1">
      <pivotArea type="data" outline="0" fieldPosition="0">
        <references count="1">
          <reference field="4294967294" count="1" selected="0">
            <x v="1"/>
          </reference>
        </references>
      </pivotArea>
    </chartFormat>
    <chartFormat chart="44" format="39" series="1">
      <pivotArea type="data" outline="0" fieldPosition="0">
        <references count="1">
          <reference field="4294967294" count="1" selected="0">
            <x v="2"/>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270D0072-BE6D-43F6-886C-F05D21DA0ACF}" name="Pivot_PENRT" cacheId="0" applyNumberFormats="0" applyBorderFormats="0" applyFontFormats="0" applyPatternFormats="0" applyAlignmentFormats="0" applyWidthHeightFormats="1" dataCaption="Werte" updatedVersion="8" minRefreshableVersion="3" useAutoFormatting="1" rowGrandTotals="0" itemPrintTitles="1" createdVersion="8" indent="0" outline="1" outlineData="1" multipleFieldFilters="0" chartFormat="29">
  <location ref="AQ13:AZ43" firstHeaderRow="1" firstDataRow="3" firstDataCol="1"/>
  <pivotFields count="57">
    <pivotField axis="axisRow" showAll="0" defaultSubtotal="0">
      <items count="54">
        <item x="0"/>
        <item x="1"/>
        <item x="2"/>
        <item x="3"/>
        <item m="1" x="6"/>
        <item m="1" x="7"/>
        <item m="1" x="8"/>
        <item m="1" x="9"/>
        <item m="1" x="10"/>
        <item m="1" x="11"/>
        <item m="1" x="12"/>
        <item m="1" x="13"/>
        <item m="1" x="14"/>
        <item m="1" x="15"/>
        <item m="1" x="16"/>
        <item m="1" x="17"/>
        <item m="1" x="18"/>
        <item m="1" x="19"/>
        <item m="1" x="20"/>
        <item m="1" x="21"/>
        <item m="1" x="22"/>
        <item m="1" x="23"/>
        <item m="1" x="24"/>
        <item m="1" x="25"/>
        <item m="1" x="26"/>
        <item m="1" x="27"/>
        <item m="1" x="28"/>
        <item m="1" x="29"/>
        <item m="1" x="30"/>
        <item m="1" x="31"/>
        <item m="1" x="32"/>
        <item m="1" x="33"/>
        <item m="1" x="34"/>
        <item m="1" x="35"/>
        <item m="1" x="36"/>
        <item m="1" x="37"/>
        <item m="1" x="38"/>
        <item m="1" x="39"/>
        <item m="1" x="40"/>
        <item m="1" x="41"/>
        <item m="1" x="42"/>
        <item m="1" x="43"/>
        <item m="1" x="44"/>
        <item m="1" x="45"/>
        <item m="1" x="46"/>
        <item m="1" x="47"/>
        <item m="1" x="48"/>
        <item m="1" x="49"/>
        <item m="1" x="50"/>
        <item m="1" x="51"/>
        <item m="1" x="52"/>
        <item m="1" x="53"/>
        <item x="4"/>
        <item x="5"/>
      </items>
    </pivotField>
    <pivotField showAll="0" defaultSubtotal="0"/>
    <pivotField showAll="0" defaultSubtotal="0"/>
    <pivotField showAll="0" defaultSubtotal="0"/>
    <pivotField axis="axisRow" multipleItemSelectionAllowed="1" showAll="0" defaultSubtotal="0">
      <items count="75">
        <item x="10"/>
        <item x="2"/>
        <item x="16"/>
        <item x="1"/>
        <item x="14"/>
        <item x="15"/>
        <item x="4"/>
        <item x="13"/>
        <item x="0"/>
        <item x="12"/>
        <item x="5"/>
        <item x="3"/>
        <item x="6"/>
        <item x="7"/>
        <item x="8"/>
        <item x="9"/>
        <item x="11"/>
        <item m="1" x="74"/>
        <item m="1" x="73"/>
        <item m="1" x="72"/>
        <item m="1" x="71"/>
        <item m="1" x="36"/>
        <item m="1" x="37"/>
        <item m="1" x="38"/>
        <item m="1" x="39"/>
        <item m="1" x="40"/>
        <item m="1" x="41"/>
        <item m="1" x="42"/>
        <item m="1" x="43"/>
        <item m="1" x="44"/>
        <item m="1" x="45"/>
        <item m="1" x="46"/>
        <item m="1" x="47"/>
        <item m="1" x="48"/>
        <item m="1" x="49"/>
        <item m="1" x="50"/>
        <item m="1" x="51"/>
        <item m="1" x="52"/>
        <item m="1" x="53"/>
        <item m="1" x="54"/>
        <item m="1" x="55"/>
        <item m="1" x="56"/>
        <item m="1" x="57"/>
        <item m="1" x="58"/>
        <item m="1" x="59"/>
        <item m="1" x="60"/>
        <item m="1" x="61"/>
        <item m="1" x="62"/>
        <item m="1" x="63"/>
        <item m="1" x="64"/>
        <item m="1" x="65"/>
        <item m="1" x="66"/>
        <item m="1" x="67"/>
        <item m="1" x="68"/>
        <item m="1" x="69"/>
        <item m="1" x="70"/>
        <item m="1" x="35"/>
        <item m="1" x="33"/>
        <item m="1" x="34"/>
        <item m="1" x="31"/>
        <item m="1" x="32"/>
        <item m="1" x="29"/>
        <item m="1" x="30"/>
        <item m="1" x="25"/>
        <item m="1" x="26"/>
        <item m="1" x="27"/>
        <item m="1" x="28"/>
        <item m="1" x="24"/>
        <item x="17"/>
        <item x="18"/>
        <item x="19"/>
        <item x="20"/>
        <item m="1" x="23"/>
        <item x="21"/>
        <item m="1" x="22"/>
      </items>
    </pivotField>
    <pivotField showAll="0" defaultSubtotal="0"/>
    <pivotField showAll="0" defaultSubtotal="0"/>
    <pivotField showAll="0" defaultSubtotal="0"/>
    <pivotField showAll="0" defaultSubtotal="0"/>
    <pivotField subtotalTop="0" showAll="0" defaultSubtotal="0"/>
    <pivotField subtotalTop="0" showAll="0" defaultSubtotal="0"/>
    <pivotField numFmtId="9" showAll="0" defaultSubtotal="0"/>
    <pivotField showAll="0" defaultSubtotal="0"/>
    <pivotField numFmtId="167" showAll="0" defaultSubtotal="0"/>
    <pivotField subtotalTop="0" showAll="0" defaultSubtotal="0"/>
    <pivotField subtotalTop="0" showAll="0" defaultSubtotal="0"/>
    <pivotField numFmtId="167" showAll="0" defaultSubtotal="0"/>
    <pivotField subtotalTop="0" showAll="0" defaultSubtotal="0"/>
    <pivotField subtotalTop="0"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numFmtId="167" showAll="0" defaultSubtotal="0"/>
    <pivotField subtotalTop="0" showAll="0" defaultSubtotal="0"/>
    <pivotField subtotalTop="0" showAll="0" defaultSubtotal="0"/>
    <pivotField numFmtId="167" showAll="0" defaultSubtotal="0"/>
    <pivotField subtotalTop="0" showAll="0" defaultSubtotal="0"/>
    <pivotField subtotalTop="0" showAll="0" defaultSubtotal="0"/>
    <pivotField numFmtId="167" showAll="0" defaultSubtotal="0"/>
    <pivotField subtotalTop="0" showAll="0" defaultSubtotal="0"/>
    <pivotField subtotalTop="0" showAll="0" defaultSubtotal="0"/>
    <pivotField dataField="1" numFmtId="167" showAll="0" defaultSubtotal="0"/>
    <pivotField dataField="1" subtotalTop="0" showAll="0" defaultSubtotal="0"/>
    <pivotField dataField="1" subtotalTop="0" showAll="0" defaultSubtotal="0"/>
    <pivotField numFmtId="167" showAll="0" defaultSubtotal="0"/>
    <pivotField subtotalTop="0" showAll="0" defaultSubtotal="0"/>
    <pivotField subtotalTop="0" showAll="0" defaultSubtotal="0"/>
    <pivotField showAll="0" defaultSubtotal="0"/>
    <pivotField subtotalTop="0" showAll="0" defaultSubtotal="0"/>
    <pivotField subtotalTop="0" showAll="0" defaultSubtotal="0"/>
    <pivotField showAll="0" defaultSubtotal="0"/>
    <pivotField subtotalTop="0" showAll="0" defaultSubtotal="0"/>
    <pivotField subtotalTop="0" showAll="0" defaultSubtotal="0"/>
    <pivotField showAll="0" defaultSubtotal="0"/>
    <pivotField subtotalTop="0" showAll="0" defaultSubtotal="0"/>
    <pivotField subtotalTop="0" showAll="0" defaultSubtotal="0"/>
    <pivotField subtotalTop="0" showAll="0" defaultSubtotal="0"/>
    <pivotField subtotalTop="0" showAll="0" defaultSubtotal="0"/>
    <pivotField subtotalTop="0" showAll="0" defaultSubtotal="0"/>
    <pivotField subtotalTop="0" showAll="0" defaultSubtotal="0"/>
    <pivotField axis="axisCol" subtotalTop="0" multipleItemSelectionAllowed="1" showAll="0" defaultSubtotal="0">
      <items count="19">
        <item x="0"/>
        <item x="1"/>
        <item h="1" m="1" x="2"/>
        <item h="1" m="1" x="3"/>
        <item h="1" m="1" x="4"/>
        <item h="1" m="1" x="5"/>
        <item h="1" m="1" x="6"/>
        <item h="1" m="1" x="7"/>
        <item h="1" m="1" x="8"/>
        <item h="1" m="1" x="9"/>
        <item h="1" m="1" x="10"/>
        <item h="1" m="1" x="11"/>
        <item h="1" m="1" x="12"/>
        <item h="1" m="1" x="13"/>
        <item h="1" m="1" x="14"/>
        <item h="1" m="1" x="15"/>
        <item h="1" m="1" x="16"/>
        <item h="1" m="1" x="17"/>
        <item h="1" m="1" x="18"/>
      </items>
    </pivotField>
    <pivotField subtotalTop="0" showAll="0" defaultSubtotal="0"/>
    <pivotField subtotalTop="0" showAll="0" defaultSubtotal="0"/>
  </pivotFields>
  <rowFields count="2">
    <field x="0"/>
    <field x="4"/>
  </rowFields>
  <rowItems count="28">
    <i>
      <x/>
    </i>
    <i r="1">
      <x v="3"/>
    </i>
    <i r="1">
      <x v="8"/>
    </i>
    <i>
      <x v="1"/>
    </i>
    <i r="1">
      <x/>
    </i>
    <i r="1">
      <x v="1"/>
    </i>
    <i r="1">
      <x v="6"/>
    </i>
    <i r="1">
      <x v="10"/>
    </i>
    <i r="1">
      <x v="11"/>
    </i>
    <i r="1">
      <x v="12"/>
    </i>
    <i r="1">
      <x v="13"/>
    </i>
    <i r="1">
      <x v="14"/>
    </i>
    <i r="1">
      <x v="15"/>
    </i>
    <i r="1">
      <x v="16"/>
    </i>
    <i r="1">
      <x v="68"/>
    </i>
    <i r="1">
      <x v="69"/>
    </i>
    <i>
      <x v="2"/>
    </i>
    <i r="1">
      <x v="4"/>
    </i>
    <i r="1">
      <x v="7"/>
    </i>
    <i r="1">
      <x v="9"/>
    </i>
    <i>
      <x v="3"/>
    </i>
    <i r="1">
      <x v="2"/>
    </i>
    <i r="1">
      <x v="5"/>
    </i>
    <i>
      <x v="52"/>
    </i>
    <i r="1">
      <x v="70"/>
    </i>
    <i r="1">
      <x v="71"/>
    </i>
    <i>
      <x v="53"/>
    </i>
    <i r="1">
      <x v="73"/>
    </i>
  </rowItems>
  <colFields count="2">
    <field x="54"/>
    <field x="-2"/>
  </colFields>
  <colItems count="9">
    <i>
      <x/>
      <x/>
    </i>
    <i r="1" i="1">
      <x v="1"/>
    </i>
    <i r="1" i="2">
      <x v="2"/>
    </i>
    <i>
      <x v="1"/>
      <x/>
    </i>
    <i r="1" i="1">
      <x v="1"/>
    </i>
    <i r="1" i="2">
      <x v="2"/>
    </i>
    <i t="grand">
      <x/>
    </i>
    <i t="grand" i="1">
      <x/>
    </i>
    <i t="grand" i="2">
      <x/>
    </i>
  </colItems>
  <dataFields count="3">
    <dataField name="  PENRT  min" fld="36" baseField="0" baseItem="0"/>
    <dataField name="  PENRT Referenz" fld="35" baseField="0" baseItem="0"/>
    <dataField name="  PENRT max" fld="37" baseField="0" baseItem="0"/>
  </dataFields>
  <formats count="16">
    <format dxfId="301">
      <pivotArea dataOnly="0" labelOnly="1" outline="0" fieldPosition="0">
        <references count="1">
          <reference field="4294967294" count="1">
            <x v="1"/>
          </reference>
        </references>
      </pivotArea>
    </format>
    <format dxfId="300">
      <pivotArea type="all" dataOnly="0" outline="0" fieldPosition="0"/>
    </format>
    <format dxfId="299">
      <pivotArea outline="0" collapsedLevelsAreSubtotals="1" fieldPosition="0"/>
    </format>
    <format dxfId="298">
      <pivotArea dataOnly="0" labelOnly="1" grandRow="1" outline="0" fieldPosition="0"/>
    </format>
    <format dxfId="297">
      <pivotArea dataOnly="0" labelOnly="1" outline="0" fieldPosition="0">
        <references count="1">
          <reference field="4294967294" count="1">
            <x v="1"/>
          </reference>
        </references>
      </pivotArea>
    </format>
    <format dxfId="296">
      <pivotArea outline="0" collapsedLevelsAreSubtotals="1" fieldPosition="0"/>
    </format>
    <format dxfId="295">
      <pivotArea dataOnly="0" labelOnly="1" outline="0" fieldPosition="0">
        <references count="1">
          <reference field="4294967294" count="1">
            <x v="1"/>
          </reference>
        </references>
      </pivotArea>
    </format>
    <format dxfId="294">
      <pivotArea type="all" dataOnly="0" outline="0" fieldPosition="0"/>
    </format>
    <format dxfId="293">
      <pivotArea outline="0" collapsedLevelsAreSubtotals="1" fieldPosition="0"/>
    </format>
    <format dxfId="292">
      <pivotArea field="0" type="button" dataOnly="0" labelOnly="1" outline="0" axis="axisRow" fieldPosition="0"/>
    </format>
    <format dxfId="291">
      <pivotArea dataOnly="0" labelOnly="1" fieldPosition="0">
        <references count="1">
          <reference field="0" count="0"/>
        </references>
      </pivotArea>
    </format>
    <format dxfId="290">
      <pivotArea dataOnly="0" labelOnly="1" fieldPosition="0">
        <references count="2">
          <reference field="0" count="1" selected="0">
            <x v="0"/>
          </reference>
          <reference field="4" count="2">
            <x v="3"/>
            <x v="8"/>
          </reference>
        </references>
      </pivotArea>
    </format>
    <format dxfId="289">
      <pivotArea dataOnly="0" labelOnly="1" fieldPosition="0">
        <references count="2">
          <reference field="0" count="1" selected="0">
            <x v="1"/>
          </reference>
          <reference field="4" count="10">
            <x v="0"/>
            <x v="1"/>
            <x v="6"/>
            <x v="10"/>
            <x v="11"/>
            <x v="12"/>
            <x v="13"/>
            <x v="14"/>
            <x v="15"/>
            <x v="16"/>
          </reference>
        </references>
      </pivotArea>
    </format>
    <format dxfId="288">
      <pivotArea dataOnly="0" labelOnly="1" fieldPosition="0">
        <references count="2">
          <reference field="0" count="1" selected="0">
            <x v="2"/>
          </reference>
          <reference field="4" count="4">
            <x v="4"/>
            <x v="7"/>
            <x v="9"/>
            <x v="17"/>
          </reference>
        </references>
      </pivotArea>
    </format>
    <format dxfId="287">
      <pivotArea dataOnly="0" labelOnly="1" fieldPosition="0">
        <references count="2">
          <reference field="0" count="1" selected="0">
            <x v="3"/>
          </reference>
          <reference field="4" count="2">
            <x v="2"/>
            <x v="5"/>
          </reference>
        </references>
      </pivotArea>
    </format>
    <format dxfId="286">
      <pivotArea dataOnly="0" labelOnly="1" outline="0" fieldPosition="0">
        <references count="1">
          <reference field="4294967294" count="3">
            <x v="0"/>
            <x v="1"/>
            <x v="2"/>
          </reference>
        </references>
      </pivotArea>
    </format>
  </formats>
  <chartFormats count="6">
    <chartFormat chart="20" format="79" series="1">
      <pivotArea type="data" outline="0" fieldPosition="0">
        <references count="2">
          <reference field="4294967294" count="1" selected="0">
            <x v="0"/>
          </reference>
          <reference field="54" count="1" selected="0">
            <x v="0"/>
          </reference>
        </references>
      </pivotArea>
    </chartFormat>
    <chartFormat chart="20" format="80" series="1">
      <pivotArea type="data" outline="0" fieldPosition="0">
        <references count="2">
          <reference field="4294967294" count="1" selected="0">
            <x v="1"/>
          </reference>
          <reference field="54" count="1" selected="0">
            <x v="0"/>
          </reference>
        </references>
      </pivotArea>
    </chartFormat>
    <chartFormat chart="20" format="81" series="1">
      <pivotArea type="data" outline="0" fieldPosition="0">
        <references count="2">
          <reference field="4294967294" count="1" selected="0">
            <x v="2"/>
          </reference>
          <reference field="54" count="1" selected="0">
            <x v="0"/>
          </reference>
        </references>
      </pivotArea>
    </chartFormat>
    <chartFormat chart="20" format="82" series="1">
      <pivotArea type="data" outline="0" fieldPosition="0">
        <references count="2">
          <reference field="4294967294" count="1" selected="0">
            <x v="0"/>
          </reference>
          <reference field="54" count="1" selected="0">
            <x v="1"/>
          </reference>
        </references>
      </pivotArea>
    </chartFormat>
    <chartFormat chart="20" format="83" series="1">
      <pivotArea type="data" outline="0" fieldPosition="0">
        <references count="2">
          <reference field="4294967294" count="1" selected="0">
            <x v="1"/>
          </reference>
          <reference field="54" count="1" selected="0">
            <x v="1"/>
          </reference>
        </references>
      </pivotArea>
    </chartFormat>
    <chartFormat chart="20" format="84" series="1">
      <pivotArea type="data" outline="0" fieldPosition="0">
        <references count="2">
          <reference field="4294967294" count="1" selected="0">
            <x v="2"/>
          </reference>
          <reference field="54" count="1" selected="0">
            <x v="1"/>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058493AD-6676-4DDA-BB6E-0503A8DC590A}" name="Pivot_WDP" cacheId="0" applyNumberFormats="0" applyBorderFormats="0" applyFontFormats="0" applyPatternFormats="0" applyAlignmentFormats="0" applyWidthHeightFormats="1" dataCaption="Werte" updatedVersion="8" minRefreshableVersion="3" useAutoFormatting="1" rowGrandTotals="0" itemPrintTitles="1" createdVersion="8" indent="0" outline="1" outlineData="1" multipleFieldFilters="0" chartFormat="37">
  <location ref="AG13:AP43" firstHeaderRow="1" firstDataRow="3" firstDataCol="1"/>
  <pivotFields count="57">
    <pivotField axis="axisRow" showAll="0" defaultSubtotal="0">
      <items count="54">
        <item x="0"/>
        <item x="1"/>
        <item x="2"/>
        <item x="3"/>
        <item m="1" x="6"/>
        <item m="1" x="7"/>
        <item m="1" x="8"/>
        <item m="1" x="9"/>
        <item m="1" x="10"/>
        <item m="1" x="11"/>
        <item m="1" x="12"/>
        <item m="1" x="13"/>
        <item m="1" x="14"/>
        <item m="1" x="15"/>
        <item m="1" x="16"/>
        <item m="1" x="17"/>
        <item m="1" x="18"/>
        <item m="1" x="19"/>
        <item m="1" x="20"/>
        <item m="1" x="21"/>
        <item m="1" x="22"/>
        <item m="1" x="23"/>
        <item m="1" x="24"/>
        <item m="1" x="25"/>
        <item m="1" x="26"/>
        <item m="1" x="27"/>
        <item m="1" x="28"/>
        <item m="1" x="29"/>
        <item m="1" x="30"/>
        <item m="1" x="31"/>
        <item m="1" x="32"/>
        <item m="1" x="33"/>
        <item m="1" x="34"/>
        <item m="1" x="35"/>
        <item m="1" x="36"/>
        <item m="1" x="37"/>
        <item m="1" x="38"/>
        <item m="1" x="39"/>
        <item m="1" x="40"/>
        <item m="1" x="41"/>
        <item m="1" x="42"/>
        <item m="1" x="43"/>
        <item m="1" x="44"/>
        <item m="1" x="45"/>
        <item m="1" x="46"/>
        <item m="1" x="47"/>
        <item m="1" x="48"/>
        <item m="1" x="49"/>
        <item m="1" x="50"/>
        <item m="1" x="51"/>
        <item m="1" x="52"/>
        <item m="1" x="53"/>
        <item x="4"/>
        <item x="5"/>
      </items>
    </pivotField>
    <pivotField showAll="0" defaultSubtotal="0"/>
    <pivotField showAll="0" defaultSubtotal="0"/>
    <pivotField showAll="0" defaultSubtotal="0"/>
    <pivotField axis="axisRow" multipleItemSelectionAllowed="1" showAll="0" defaultSubtotal="0">
      <items count="75">
        <item x="10"/>
        <item x="2"/>
        <item x="16"/>
        <item x="1"/>
        <item x="14"/>
        <item x="15"/>
        <item x="4"/>
        <item x="13"/>
        <item x="0"/>
        <item x="12"/>
        <item x="5"/>
        <item x="3"/>
        <item x="6"/>
        <item x="7"/>
        <item x="8"/>
        <item x="9"/>
        <item x="11"/>
        <item m="1" x="74"/>
        <item m="1" x="73"/>
        <item m="1" x="72"/>
        <item m="1" x="71"/>
        <item m="1" x="36"/>
        <item m="1" x="37"/>
        <item m="1" x="38"/>
        <item m="1" x="39"/>
        <item m="1" x="40"/>
        <item m="1" x="41"/>
        <item m="1" x="42"/>
        <item m="1" x="43"/>
        <item m="1" x="44"/>
        <item m="1" x="45"/>
        <item m="1" x="46"/>
        <item m="1" x="47"/>
        <item m="1" x="48"/>
        <item m="1" x="49"/>
        <item m="1" x="50"/>
        <item m="1" x="51"/>
        <item m="1" x="52"/>
        <item m="1" x="53"/>
        <item m="1" x="54"/>
        <item m="1" x="55"/>
        <item m="1" x="56"/>
        <item m="1" x="57"/>
        <item m="1" x="58"/>
        <item m="1" x="59"/>
        <item m="1" x="60"/>
        <item m="1" x="61"/>
        <item m="1" x="62"/>
        <item m="1" x="63"/>
        <item m="1" x="64"/>
        <item m="1" x="65"/>
        <item m="1" x="66"/>
        <item m="1" x="67"/>
        <item m="1" x="68"/>
        <item m="1" x="69"/>
        <item m="1" x="70"/>
        <item m="1" x="35"/>
        <item m="1" x="33"/>
        <item m="1" x="34"/>
        <item m="1" x="31"/>
        <item m="1" x="32"/>
        <item m="1" x="29"/>
        <item m="1" x="30"/>
        <item m="1" x="25"/>
        <item m="1" x="26"/>
        <item m="1" x="27"/>
        <item m="1" x="28"/>
        <item m="1" x="24"/>
        <item x="17"/>
        <item x="18"/>
        <item x="19"/>
        <item x="20"/>
        <item m="1" x="23"/>
        <item x="21"/>
        <item m="1" x="22"/>
      </items>
    </pivotField>
    <pivotField showAll="0" defaultSubtotal="0"/>
    <pivotField showAll="0" defaultSubtotal="0"/>
    <pivotField showAll="0" defaultSubtotal="0"/>
    <pivotField showAll="0" defaultSubtotal="0"/>
    <pivotField subtotalTop="0" showAll="0" defaultSubtotal="0"/>
    <pivotField subtotalTop="0" showAll="0" defaultSubtotal="0"/>
    <pivotField numFmtId="9" showAll="0" defaultSubtotal="0"/>
    <pivotField showAll="0" defaultSubtotal="0"/>
    <pivotField numFmtId="167" showAll="0" defaultSubtotal="0"/>
    <pivotField subtotalTop="0" showAll="0" defaultSubtotal="0"/>
    <pivotField subtotalTop="0" showAll="0" defaultSubtotal="0"/>
    <pivotField numFmtId="167" showAll="0" defaultSubtotal="0"/>
    <pivotField subtotalTop="0" showAll="0" defaultSubtotal="0"/>
    <pivotField subtotalTop="0"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ubtotalTop="0" showAll="0" defaultSubtotal="0"/>
    <pivotField subtotalTop="0" showAll="0" defaultSubtotal="0"/>
    <pivotField showAll="0" defaultSubtotal="0"/>
    <pivotField subtotalTop="0" showAll="0" defaultSubtotal="0"/>
    <pivotField subtotalTop="0" showAll="0" defaultSubtotal="0"/>
    <pivotField showAll="0" defaultSubtotal="0"/>
    <pivotField subtotalTop="0" showAll="0" defaultSubtotal="0"/>
    <pivotField subtotalTop="0" showAll="0" defaultSubtotal="0"/>
    <pivotField showAll="0" defaultSubtotal="0"/>
    <pivotField subtotalTop="0" showAll="0" defaultSubtotal="0"/>
    <pivotField subtotalTop="0" showAll="0" defaultSubtotal="0"/>
    <pivotField showAll="0" defaultSubtotal="0"/>
    <pivotField subtotalTop="0" showAll="0" defaultSubtotal="0"/>
    <pivotField subtotalTop="0" showAll="0" defaultSubtotal="0"/>
    <pivotField dataField="1" showAll="0" defaultSubtotal="0"/>
    <pivotField dataField="1" subtotalTop="0" showAll="0" defaultSubtotal="0"/>
    <pivotField dataField="1" subtotalTop="0" showAll="0" defaultSubtotal="0"/>
    <pivotField showAll="0" defaultSubtotal="0"/>
    <pivotField subtotalTop="0" showAll="0" defaultSubtotal="0"/>
    <pivotField subtotalTop="0" showAll="0" defaultSubtotal="0"/>
    <pivotField showAll="0" defaultSubtotal="0"/>
    <pivotField subtotalTop="0" showAll="0" defaultSubtotal="0"/>
    <pivotField subtotalTop="0" showAll="0" defaultSubtotal="0"/>
    <pivotField subtotalTop="0" showAll="0" defaultSubtotal="0"/>
    <pivotField subtotalTop="0" showAll="0" defaultSubtotal="0"/>
    <pivotField subtotalTop="0" showAll="0" defaultSubtotal="0"/>
    <pivotField subtotalTop="0" showAll="0" defaultSubtotal="0"/>
    <pivotField axis="axisCol" subtotalTop="0" showAll="0" defaultSubtotal="0">
      <items count="19">
        <item x="0"/>
        <item x="1"/>
        <item h="1" m="1" x="2"/>
        <item h="1" m="1" x="3"/>
        <item h="1" m="1" x="4"/>
        <item h="1" m="1" x="5"/>
        <item h="1" m="1" x="6"/>
        <item h="1" m="1" x="7"/>
        <item h="1" m="1" x="8"/>
        <item h="1" m="1" x="9"/>
        <item h="1" m="1" x="10"/>
        <item h="1" m="1" x="11"/>
        <item h="1" m="1" x="12"/>
        <item h="1" m="1" x="13"/>
        <item h="1" m="1" x="14"/>
        <item h="1" m="1" x="15"/>
        <item h="1" m="1" x="16"/>
        <item h="1" m="1" x="17"/>
        <item h="1" m="1" x="18"/>
      </items>
    </pivotField>
    <pivotField subtotalTop="0" showAll="0" defaultSubtotal="0"/>
    <pivotField subtotalTop="0" showAll="0" defaultSubtotal="0"/>
  </pivotFields>
  <rowFields count="2">
    <field x="0"/>
    <field x="4"/>
  </rowFields>
  <rowItems count="28">
    <i>
      <x/>
    </i>
    <i r="1">
      <x v="3"/>
    </i>
    <i r="1">
      <x v="8"/>
    </i>
    <i>
      <x v="1"/>
    </i>
    <i r="1">
      <x/>
    </i>
    <i r="1">
      <x v="1"/>
    </i>
    <i r="1">
      <x v="6"/>
    </i>
    <i r="1">
      <x v="10"/>
    </i>
    <i r="1">
      <x v="11"/>
    </i>
    <i r="1">
      <x v="12"/>
    </i>
    <i r="1">
      <x v="13"/>
    </i>
    <i r="1">
      <x v="14"/>
    </i>
    <i r="1">
      <x v="15"/>
    </i>
    <i r="1">
      <x v="16"/>
    </i>
    <i r="1">
      <x v="68"/>
    </i>
    <i r="1">
      <x v="69"/>
    </i>
    <i>
      <x v="2"/>
    </i>
    <i r="1">
      <x v="4"/>
    </i>
    <i r="1">
      <x v="7"/>
    </i>
    <i r="1">
      <x v="9"/>
    </i>
    <i>
      <x v="3"/>
    </i>
    <i r="1">
      <x v="2"/>
    </i>
    <i r="1">
      <x v="5"/>
    </i>
    <i>
      <x v="52"/>
    </i>
    <i r="1">
      <x v="70"/>
    </i>
    <i r="1">
      <x v="71"/>
    </i>
    <i>
      <x v="53"/>
    </i>
    <i r="1">
      <x v="73"/>
    </i>
  </rowItems>
  <colFields count="2">
    <field x="54"/>
    <field x="-2"/>
  </colFields>
  <colItems count="9">
    <i>
      <x/>
      <x/>
    </i>
    <i r="1" i="1">
      <x v="1"/>
    </i>
    <i r="1" i="2">
      <x v="2"/>
    </i>
    <i>
      <x v="1"/>
      <x/>
    </i>
    <i r="1" i="1">
      <x v="1"/>
    </i>
    <i r="1" i="2">
      <x v="2"/>
    </i>
    <i t="grand">
      <x/>
    </i>
    <i t="grand" i="1">
      <x/>
    </i>
    <i t="grand" i="2">
      <x/>
    </i>
  </colItems>
  <dataFields count="3">
    <dataField name="  WDP  min" fld="42" baseField="0" baseItem="0"/>
    <dataField name="  WDP  Referenz" fld="41" baseField="0" baseItem="0"/>
    <dataField name="  WDP  max" fld="43" baseField="0" baseItem="0"/>
  </dataFields>
  <formats count="17">
    <format dxfId="318">
      <pivotArea outline="0" collapsedLevelsAreSubtotals="1" fieldPosition="0"/>
    </format>
    <format dxfId="317">
      <pivotArea type="all" dataOnly="0" outline="0" fieldPosition="0"/>
    </format>
    <format dxfId="316">
      <pivotArea outline="0" collapsedLevelsAreSubtotals="1" fieldPosition="0"/>
    </format>
    <format dxfId="315">
      <pivotArea dataOnly="0" labelOnly="1" grandRow="1" outline="0" fieldPosition="0"/>
    </format>
    <format dxfId="314">
      <pivotArea outline="0" collapsedLevelsAreSubtotals="1" fieldPosition="0"/>
    </format>
    <format dxfId="313">
      <pivotArea field="0" type="button" dataOnly="0" labelOnly="1" outline="0" axis="axisRow" fieldPosition="0"/>
    </format>
    <format dxfId="312">
      <pivotArea dataOnly="0" labelOnly="1" outline="0" fieldPosition="0">
        <references count="1">
          <reference field="4294967294" count="1">
            <x v="1"/>
          </reference>
        </references>
      </pivotArea>
    </format>
    <format dxfId="311">
      <pivotArea type="all" dataOnly="0" outline="0" fieldPosition="0"/>
    </format>
    <format dxfId="310">
      <pivotArea outline="0" collapsedLevelsAreSubtotals="1" fieldPosition="0"/>
    </format>
    <format dxfId="309">
      <pivotArea field="0" type="button" dataOnly="0" labelOnly="1" outline="0" axis="axisRow" fieldPosition="0"/>
    </format>
    <format dxfId="308">
      <pivotArea dataOnly="0" labelOnly="1" fieldPosition="0">
        <references count="1">
          <reference field="0" count="0"/>
        </references>
      </pivotArea>
    </format>
    <format dxfId="307">
      <pivotArea dataOnly="0" labelOnly="1" fieldPosition="0">
        <references count="2">
          <reference field="0" count="1" selected="0">
            <x v="0"/>
          </reference>
          <reference field="4" count="2">
            <x v="3"/>
            <x v="8"/>
          </reference>
        </references>
      </pivotArea>
    </format>
    <format dxfId="306">
      <pivotArea dataOnly="0" labelOnly="1" fieldPosition="0">
        <references count="2">
          <reference field="0" count="1" selected="0">
            <x v="1"/>
          </reference>
          <reference field="4" count="10">
            <x v="0"/>
            <x v="1"/>
            <x v="6"/>
            <x v="10"/>
            <x v="11"/>
            <x v="12"/>
            <x v="13"/>
            <x v="14"/>
            <x v="15"/>
            <x v="16"/>
          </reference>
        </references>
      </pivotArea>
    </format>
    <format dxfId="305">
      <pivotArea dataOnly="0" labelOnly="1" fieldPosition="0">
        <references count="2">
          <reference field="0" count="1" selected="0">
            <x v="2"/>
          </reference>
          <reference field="4" count="4">
            <x v="4"/>
            <x v="7"/>
            <x v="9"/>
            <x v="17"/>
          </reference>
        </references>
      </pivotArea>
    </format>
    <format dxfId="304">
      <pivotArea dataOnly="0" labelOnly="1" fieldPosition="0">
        <references count="2">
          <reference field="0" count="1" selected="0">
            <x v="3"/>
          </reference>
          <reference field="4" count="2">
            <x v="2"/>
            <x v="5"/>
          </reference>
        </references>
      </pivotArea>
    </format>
    <format dxfId="303">
      <pivotArea dataOnly="0" labelOnly="1" outline="0" fieldPosition="0">
        <references count="1">
          <reference field="4294967294" count="3">
            <x v="0"/>
            <x v="1"/>
            <x v="2"/>
          </reference>
        </references>
      </pivotArea>
    </format>
    <format dxfId="302">
      <pivotArea dataOnly="0" labelOnly="1" outline="0" fieldPosition="0">
        <references count="1">
          <reference field="4294967294" count="1">
            <x v="2"/>
          </reference>
        </references>
      </pivotArea>
    </format>
  </formats>
  <chartFormats count="6">
    <chartFormat chart="25" format="79" series="1">
      <pivotArea type="data" outline="0" fieldPosition="0">
        <references count="2">
          <reference field="4294967294" count="1" selected="0">
            <x v="0"/>
          </reference>
          <reference field="54" count="1" selected="0">
            <x v="0"/>
          </reference>
        </references>
      </pivotArea>
    </chartFormat>
    <chartFormat chart="25" format="80" series="1">
      <pivotArea type="data" outline="0" fieldPosition="0">
        <references count="2">
          <reference field="4294967294" count="1" selected="0">
            <x v="1"/>
          </reference>
          <reference field="54" count="1" selected="0">
            <x v="0"/>
          </reference>
        </references>
      </pivotArea>
    </chartFormat>
    <chartFormat chart="25" format="81" series="1">
      <pivotArea type="data" outline="0" fieldPosition="0">
        <references count="2">
          <reference field="4294967294" count="1" selected="0">
            <x v="2"/>
          </reference>
          <reference field="54" count="1" selected="0">
            <x v="0"/>
          </reference>
        </references>
      </pivotArea>
    </chartFormat>
    <chartFormat chart="25" format="82" series="1">
      <pivotArea type="data" outline="0" fieldPosition="0">
        <references count="2">
          <reference field="4294967294" count="1" selected="0">
            <x v="0"/>
          </reference>
          <reference field="54" count="1" selected="0">
            <x v="1"/>
          </reference>
        </references>
      </pivotArea>
    </chartFormat>
    <chartFormat chart="25" format="83" series="1">
      <pivotArea type="data" outline="0" fieldPosition="0">
        <references count="2">
          <reference field="4294967294" count="1" selected="0">
            <x v="1"/>
          </reference>
          <reference field="54" count="1" selected="0">
            <x v="1"/>
          </reference>
        </references>
      </pivotArea>
    </chartFormat>
    <chartFormat chart="25" format="84" series="1">
      <pivotArea type="data" outline="0" fieldPosition="0">
        <references count="2">
          <reference field="4294967294" count="1" selected="0">
            <x v="2"/>
          </reference>
          <reference field="54" count="1" selected="0">
            <x v="1"/>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eDaten_3" connectionId="4" xr16:uid="{6A4B8CE2-25C2-4EB5-B501-F355B7E6797D}" autoFormatId="16" applyNumberFormats="0" applyBorderFormats="0" applyFontFormats="0" applyPatternFormats="0" applyAlignmentFormats="0" applyWidthHeightFormats="0">
  <queryTableRefresh nextId="13">
    <queryTableFields count="12">
      <queryTableField id="1" name="Kostengruppe" tableColumnId="1"/>
      <queryTableField id="2" name="ID Baukonstruktion" tableColumnId="2"/>
      <queryTableField id="3" name="RMI [kg Primärrohstoffe/m²] Referenz" tableColumnId="3"/>
      <queryTableField id="4" name="RMI [kg Primärrohstoffe/m²] min" tableColumnId="4"/>
      <queryTableField id="5" name="RMI [kg Primärrohstoffe/m²] max" tableColumnId="5"/>
      <queryTableField id="6" name="GWP [kg CO2-Äqu./m²] Referenz" tableColumnId="6"/>
      <queryTableField id="7" name="GWP [kg CO2-Äqu./m²] min" tableColumnId="7"/>
      <queryTableField id="8" name="GWP [kg CO2-Äqu./m²] max" tableColumnId="8"/>
      <queryTableField id="9" name="PENRT [MJ/m²] Referenz" tableColumnId="9"/>
      <queryTableField id="10" name="PENRT [MJ/m²] min" tableColumnId="10"/>
      <queryTableField id="11" name="PENRT [MJ/m²] max" tableColumnId="11"/>
      <queryTableField id="12" name="Modul" tableColumnId="12"/>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ExterneDaten_3" backgroundRefresh="0" connectionId="10" xr16:uid="{26918C44-CDF3-4FC2-B4AB-4C240C308EAC}" autoFormatId="16" applyNumberFormats="0" applyBorderFormats="0" applyFontFormats="0" applyPatternFormats="0" applyAlignmentFormats="0" applyWidthHeightFormats="0">
  <queryTableRefresh nextId="69" unboundColumnsRight="18">
    <queryTableFields count="31">
      <queryTableField id="1" name="Kostengruppe" tableColumnId="1"/>
      <queryTableField id="2" name="Name Baukonstruktion" tableColumnId="2"/>
      <queryTableField id="3" name="Variante Name" tableColumnId="3"/>
      <queryTableField id="4" name="ID Baukonstruktion" tableColumnId="4"/>
      <queryTableField id="5" name="Schicht" tableColumnId="5"/>
      <queryTableField id="6" name="Material" tableColumnId="6"/>
      <queryTableField id="7" name="Masse [kg/m²] Referenz" tableColumnId="7"/>
      <queryTableField id="8" name="Masse [kg/m²] min" tableColumnId="8"/>
      <queryTableField id="9" name="Masse [kg/m²] max" tableColumnId="9"/>
      <queryTableField id="66" name="ist Dämmstoff?" tableColumnId="12"/>
      <queryTableField id="10" name="Modul" tableColumnId="10"/>
      <queryTableField id="63" name="Transportdistanz.Voreinstellung" tableColumnId="13"/>
      <queryTableField id="64" name="Transport.Transport-Modus" tableColumnId="14"/>
      <queryTableField id="34" dataBound="0" tableColumnId="34"/>
      <queryTableField id="35" dataBound="0" tableColumnId="35"/>
      <queryTableField id="36" dataBound="0" tableColumnId="36"/>
      <queryTableField id="37" dataBound="0" tableColumnId="37"/>
      <queryTableField id="38" dataBound="0" tableColumnId="38"/>
      <queryTableField id="39" dataBound="0" tableColumnId="39"/>
      <queryTableField id="40" dataBound="0" tableColumnId="40"/>
      <queryTableField id="41" dataBound="0" tableColumnId="41"/>
      <queryTableField id="42" dataBound="0" tableColumnId="42"/>
      <queryTableField id="43" dataBound="0" tableColumnId="43"/>
      <queryTableField id="44" dataBound="0" tableColumnId="44"/>
      <queryTableField id="45" dataBound="0" tableColumnId="45"/>
      <queryTableField id="49" dataBound="0" tableColumnId="49"/>
      <queryTableField id="50" dataBound="0" tableColumnId="50"/>
      <queryTableField id="51" dataBound="0" tableColumnId="51"/>
      <queryTableField id="52" dataBound="0" tableColumnId="52"/>
      <queryTableField id="53" dataBound="0" tableColumnId="53"/>
      <queryTableField id="54" dataBound="0" tableColumnId="54"/>
    </queryTableFields>
  </queryTableRefresh>
  <extLst>
    <ext xmlns:x15="http://schemas.microsoft.com/office/spreadsheetml/2010/11/main" uri="{883FBD77-0823-4a55-B5E3-86C4891E6966}">
      <x15:queryTable sourceDataName="Abfrage - Baukon_alle_A4_join"/>
    </ext>
  </extLst>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ExterneDaten_1" backgroundRefresh="0" connectionId="9" xr16:uid="{9547AB20-E98B-4932-ACAB-0ED54BAC8356}" autoFormatId="16" applyNumberFormats="0" applyBorderFormats="0" applyFontFormats="0" applyPatternFormats="0" applyAlignmentFormats="0" applyWidthHeightFormats="0">
  <queryTableRefresh nextId="235">
    <queryTableFields count="55">
      <queryTableField id="1" name="Kostengruppe" tableColumnId="1"/>
      <queryTableField id="68" name="Name Baukonstruktion" tableColumnId="65"/>
      <queryTableField id="78" name="Variante Nummer" tableColumnId="30"/>
      <queryTableField id="4" name="Variante Name" tableColumnId="4"/>
      <queryTableField id="69" name="ID Baukonstruktion" tableColumnId="66"/>
      <queryTableField id="6" name="Schicht" tableColumnId="6"/>
      <queryTableField id="7" name="Material" tableColumnId="7"/>
      <queryTableField id="70" name="Material ist Dämmstoff?" tableColumnId="67"/>
      <queryTableField id="9" name="Dicke [mm] Referenz" tableColumnId="9"/>
      <queryTableField id="142" name="Dicke [mm] min" tableColumnId="95"/>
      <queryTableField id="143" name="Dicke [mm] max" tableColumnId="96"/>
      <queryTableField id="14" name="Flächenanteil [%]" tableColumnId="14"/>
      <queryTableField id="15" name="Länge [m]" tableColumnId="15"/>
      <queryTableField id="16" name="Volumen [m³/m²] Referenz" tableColumnId="16"/>
      <queryTableField id="144" name="Volumen [m³/m²] min" tableColumnId="97"/>
      <queryTableField id="145" name="Volumen [m³/m²] max" tableColumnId="98"/>
      <queryTableField id="21" name="Masse [kg/m²] Referenz" tableColumnId="21"/>
      <queryTableField id="146" name="Masse [kg/m²] min" tableColumnId="99"/>
      <queryTableField id="147" name="Masse [kg/m²] max" tableColumnId="100"/>
      <queryTableField id="26" name="Kommentar" tableColumnId="26"/>
      <queryTableField id="27" name="LCA Datensatz" tableColumnId="27"/>
      <queryTableField id="61" name="Rohdichte [kg/m³]" tableColumnId="61"/>
      <queryTableField id="62" name="Flächengewicht [kg/m²]" tableColumnId="62"/>
      <queryTableField id="63" name="Längengewicht [kg/m]" tableColumnId="63"/>
      <queryTableField id="106" name="lambda_[W/mK]" tableColumnId="78"/>
      <queryTableField id="107" name="R [m²K/W] Referenz" tableColumnId="79"/>
      <queryTableField id="31" name="RMI [kg Primärrohstoffe/m²] Referenz" tableColumnId="31"/>
      <queryTableField id="148" name="RMI [kg Primärrohstoffe/m²] min" tableColumnId="101"/>
      <queryTableField id="149" name="RMI [kg Primärrohstoffe/m²] max" tableColumnId="102"/>
      <queryTableField id="36" name="TMR [kg Gesamtmaterialaufwand/m²] Referenz" tableColumnId="36"/>
      <queryTableField id="150" name="TMR [kg Gesamtmaterialaufwand/m²] min" tableColumnId="103"/>
      <queryTableField id="151" name="TMR [kg Gesamtmaterialaufwand/m²] max" tableColumnId="104"/>
      <queryTableField id="41" name="GWP [kg CO2-Äqu./m²] Referenz" tableColumnId="41"/>
      <queryTableField id="152" name="GWP [kg CO2-Äqu./m²] min" tableColumnId="105"/>
      <queryTableField id="153" name="GWP [kg CO2-Äqu./m²] max" tableColumnId="106"/>
      <queryTableField id="46" name="PENRT [MJ/m²] Referenz" tableColumnId="46"/>
      <queryTableField id="154" name="PENRT [MJ/m²] min" tableColumnId="107"/>
      <queryTableField id="155" name="PENRT [MJ/m²] max" tableColumnId="108"/>
      <queryTableField id="51" name="PERT [MJ/m²] Referenz" tableColumnId="51"/>
      <queryTableField id="156" name="PERT [MJ/m²] min" tableColumnId="109"/>
      <queryTableField id="157" name="PERT [MJ/m²] max" tableColumnId="110"/>
      <queryTableField id="96" name="WDP [m² weighted water/m²] Referenz" tableColumnId="73"/>
      <queryTableField id="158" name="WDP [m² weighted water/m²] min" tableColumnId="111"/>
      <queryTableField id="159" name="WDP [m² weighted water/m²] max" tableColumnId="112"/>
      <queryTableField id="73" name="Normierter Wert Referenz" tableColumnId="2"/>
      <queryTableField id="160" name="Normierter Wert min" tableColumnId="113"/>
      <queryTableField id="161" name="Normierter Wert max" tableColumnId="114"/>
      <queryTableField id="64" name="Prüfung id" tableColumnId="64"/>
      <queryTableField id="232" name="ist Dämmstoff?" tableColumnId="17"/>
      <queryTableField id="200" name="Länge [m/m²]" tableColumnId="12"/>
      <queryTableField id="196" name="Rohdichte [kg/m³], Eingabe" tableColumnId="5"/>
      <queryTableField id="197" name="Flächengewicht [kg/m²], Eingabe" tableColumnId="8"/>
      <queryTableField id="198" name="Längengewicht [kg/m], Eingabe" tableColumnId="10"/>
      <queryTableField id="199" name="lambda_[W/mK], Eingabe" tableColumnId="11"/>
      <queryTableField id="202" name="Modul" tableColumnId="13"/>
    </queryTableFields>
  </queryTableRefresh>
  <extLst>
    <ext xmlns:x15="http://schemas.microsoft.com/office/spreadsheetml/2010/11/main" uri="{883FBD77-0823-4a55-B5E3-86C4891E6966}">
      <x15:queryTable sourceDataName="Abfrage - Baukon_alle_A1-A3_results"/>
    </ext>
  </extLst>
</queryTable>
</file>

<file path=xl/queryTables/queryTable4.xml><?xml version="1.0" encoding="utf-8"?>
<queryTable xmlns="http://schemas.openxmlformats.org/spreadsheetml/2006/main" xmlns:mc="http://schemas.openxmlformats.org/markup-compatibility/2006" xmlns:xr16="http://schemas.microsoft.com/office/spreadsheetml/2017/revision16" mc:Ignorable="xr16" name="ExterneDaten_2" connectionId="2" xr16:uid="{F81849DD-957E-4842-98F0-938D11A6A139}" autoFormatId="16" applyNumberFormats="0" applyBorderFormats="0" applyFontFormats="0" applyPatternFormats="0" applyAlignmentFormats="0" applyWidthHeightFormats="0">
  <queryTableRefresh nextId="99">
    <queryTableFields count="57">
      <queryTableField id="1" name="Kostengruppe" tableColumnId="1"/>
      <queryTableField id="2" name="Name Baukonstruktion" tableColumnId="2"/>
      <queryTableField id="3" name="Variante Nummer" tableColumnId="3"/>
      <queryTableField id="4" name="Variante Name" tableColumnId="4"/>
      <queryTableField id="5" name="ID Baukonstruktion" tableColumnId="5"/>
      <queryTableField id="6" name="Schicht" tableColumnId="6"/>
      <queryTableField id="7" name="Material" tableColumnId="7"/>
      <queryTableField id="8" name="Material ist Dämmstoff?" tableColumnId="8"/>
      <queryTableField id="9" name="Dicke [mm] Referenz" tableColumnId="9"/>
      <queryTableField id="10" name="Dicke [mm] min" tableColumnId="10"/>
      <queryTableField id="11" name="Dicke [mm] max" tableColumnId="11"/>
      <queryTableField id="12" name="Flächenanteil [%]" tableColumnId="12"/>
      <queryTableField id="13" name="Länge [m]" tableColumnId="13"/>
      <queryTableField id="14" name="Volumen [m³/m²] Referenz" tableColumnId="14"/>
      <queryTableField id="15" name="Volumen [m³/m²] min" tableColumnId="15"/>
      <queryTableField id="16" name="Volumen [m³/m²] max" tableColumnId="16"/>
      <queryTableField id="17" name="Masse [kg/m²] Referenz" tableColumnId="17"/>
      <queryTableField id="18" name="Masse [kg/m²] min" tableColumnId="18"/>
      <queryTableField id="19" name="Masse [kg/m²] max" tableColumnId="19"/>
      <queryTableField id="20" name="Kommentar" tableColumnId="20"/>
      <queryTableField id="21" name="LCA Datensatz" tableColumnId="21"/>
      <queryTableField id="22" name="Rohdichte [kg/m³]" tableColumnId="22"/>
      <queryTableField id="23" name="Flächengewicht [kg/m²]" tableColumnId="23"/>
      <queryTableField id="24" name="Längengewicht [kg/m]" tableColumnId="24"/>
      <queryTableField id="25" name="lambda_[W/mK]" tableColumnId="25"/>
      <queryTableField id="26" name="R [m²K/W] Referenz" tableColumnId="26"/>
      <queryTableField id="27" name="RMI [kg Primärrohstoffe/m²] Referenz" tableColumnId="27"/>
      <queryTableField id="28" name="RMI [kg Primärrohstoffe/m²] min" tableColumnId="28"/>
      <queryTableField id="29" name="RMI [kg Primärrohstoffe/m²] max" tableColumnId="29"/>
      <queryTableField id="30" name="TMR [kg Gesamtmaterialaufwand/m²] Referenz" tableColumnId="30"/>
      <queryTableField id="31" name="TMR [kg Gesamtmaterialaufwand/m²] min" tableColumnId="31"/>
      <queryTableField id="32" name="TMR [kg Gesamtmaterialaufwand/m²] max" tableColumnId="32"/>
      <queryTableField id="33" name="GWP [kg CO2-Äqu./m²] Referenz" tableColumnId="33"/>
      <queryTableField id="34" name="GWP [kg CO2-Äqu./m²] min" tableColumnId="34"/>
      <queryTableField id="35" name="GWP [kg CO2-Äqu./m²] max" tableColumnId="35"/>
      <queryTableField id="36" name="PENRT [MJ/m²] Referenz" tableColumnId="36"/>
      <queryTableField id="37" name="PENRT [MJ/m²] min" tableColumnId="37"/>
      <queryTableField id="38" name="PENRT [MJ/m²] max" tableColumnId="38"/>
      <queryTableField id="39" name="PERT [MJ/m²] Referenz" tableColumnId="39"/>
      <queryTableField id="40" name="PERT [MJ/m²] min" tableColumnId="40"/>
      <queryTableField id="41" name="PERT [MJ/m²] max" tableColumnId="41"/>
      <queryTableField id="42" name="WDP [m² weighted water/m²] Referenz" tableColumnId="42"/>
      <queryTableField id="43" name="WDP [m² weighted water/m²] min" tableColumnId="43"/>
      <queryTableField id="44" name="WDP [m² weighted water/m²] max" tableColumnId="44"/>
      <queryTableField id="45" name="Normierter Wert Referenz" tableColumnId="45"/>
      <queryTableField id="46" name="Normierter Wert min" tableColumnId="46"/>
      <queryTableField id="47" name="Normierter Wert max" tableColumnId="47"/>
      <queryTableField id="48" name="Prüfung id" tableColumnId="48"/>
      <queryTableField id="89" name="ist Dämmstoff?" tableColumnId="56"/>
      <queryTableField id="49" name="Länge [m/m²]" tableColumnId="49"/>
      <queryTableField id="50" name="Rohdichte [kg/m³], Eingabe " tableColumnId="50"/>
      <queryTableField id="51" name="Flächengewicht [kg/m²], Eingabe " tableColumnId="51"/>
      <queryTableField id="52" name="Längengewicht [kg/m], Eingabe " tableColumnId="52"/>
      <queryTableField id="53" name="lambda_[W/mK], Eingabe " tableColumnId="53"/>
      <queryTableField id="54" name="Modul" tableColumnId="54"/>
      <queryTableField id="86" name="Transportdistanz.Voreinstellung" tableColumnId="57"/>
      <queryTableField id="87" name="Transport.Transport-Modus" tableColumnId="58"/>
    </queryTableFields>
  </queryTableRefresh>
</queryTable>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Datenschnitt_Kostengruppe" xr10:uid="{5C9140BE-9B94-440C-9D0C-151BC05848EB}" sourceName="Kostengruppe">
  <pivotTables>
    <pivotTable tabId="17" name="Pivot_Massen"/>
    <pivotTable tabId="17" name="Pivot_GWP"/>
    <pivotTable tabId="17" name="Pivot_PENRT"/>
    <pivotTable tabId="17" name="Pivot_RMI"/>
    <pivotTable tabId="17" name="Pivot_WDP"/>
    <pivotTable tabId="17" name="Pivot_norm"/>
  </pivotTables>
  <data>
    <tabular pivotCacheId="186940731">
      <items count="54">
        <i x="0" s="1"/>
        <i x="1" s="1"/>
        <i x="5" s="1"/>
        <i x="2" s="1"/>
        <i x="3" s="1"/>
        <i x="4" s="1"/>
        <i x="45" s="1" nd="1"/>
        <i x="42" s="1" nd="1"/>
        <i x="25" s="1" nd="1"/>
        <i x="28" s="1" nd="1"/>
        <i x="26" s="1" nd="1"/>
        <i x="40" s="1" nd="1"/>
        <i x="34" s="1" nd="1"/>
        <i x="18" s="1" nd="1"/>
        <i x="30" s="1" nd="1"/>
        <i x="53" s="1" nd="1"/>
        <i x="37" s="1" nd="1"/>
        <i x="48" s="1" nd="1"/>
        <i x="31" s="1" nd="1"/>
        <i x="17" s="1" nd="1"/>
        <i x="41" s="1" nd="1"/>
        <i x="52" s="1" nd="1"/>
        <i x="8" s="1" nd="1"/>
        <i x="38" s="1" nd="1"/>
        <i x="29" s="1" nd="1"/>
        <i x="11" s="1" nd="1"/>
        <i x="21" s="1" nd="1"/>
        <i x="13" s="1" nd="1"/>
        <i x="10" s="1" nd="1"/>
        <i x="16" s="1" nd="1"/>
        <i x="32" s="1" nd="1"/>
        <i x="44" s="1" nd="1"/>
        <i x="36" s="1" nd="1"/>
        <i x="6" s="1" nd="1"/>
        <i x="51" s="1" nd="1"/>
        <i x="20" s="1" nd="1"/>
        <i x="19" s="1" nd="1"/>
        <i x="22" s="1" nd="1"/>
        <i x="43" s="1" nd="1"/>
        <i x="27" s="1" nd="1"/>
        <i x="39" s="1" nd="1"/>
        <i x="46" s="1" nd="1"/>
        <i x="33" s="1" nd="1"/>
        <i x="9" s="1" nd="1"/>
        <i x="24" s="1" nd="1"/>
        <i x="15" s="1" nd="1"/>
        <i x="14" s="1" nd="1"/>
        <i x="12" s="1" nd="1"/>
        <i x="7" s="1" nd="1"/>
        <i x="50" s="1" nd="1"/>
        <i x="35" s="1" nd="1"/>
        <i x="23" s="1" nd="1"/>
        <i x="47" s="1" nd="1"/>
        <i x="49" s="1" nd="1"/>
      </items>
    </tabular>
  </data>
  <extLst>
    <x:ext xmlns:x15="http://schemas.microsoft.com/office/spreadsheetml/2010/11/main" uri="{470722E0-AACD-4C17-9CDC-17EF765DBC7E}">
      <x15:slicerCacheHideItemsWithNoData/>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Datenschnitt_ID_Baukonstruktion" xr10:uid="{541A68ED-99D5-475F-9787-23DC34D0AF98}" sourceName="ID Baukonstruktion">
  <pivotTables>
    <pivotTable tabId="17" name="Pivot_Massen"/>
    <pivotTable tabId="17" name="Pivot_GWP"/>
    <pivotTable tabId="17" name="Pivot_norm"/>
    <pivotTable tabId="17" name="Pivot_PENRT"/>
    <pivotTable tabId="17" name="Pivot_RMI"/>
    <pivotTable tabId="17" name="Pivot_WDP"/>
  </pivotTables>
  <data>
    <tabular pivotCacheId="186940731" showMissing="0">
      <items count="75">
        <i x="10" s="1"/>
        <i x="17" s="1"/>
        <i x="19" s="1"/>
        <i x="21" s="1"/>
        <i x="2" s="1"/>
        <i x="16" s="1"/>
        <i x="1" s="1"/>
        <i x="14" s="1"/>
        <i x="18" s="1"/>
        <i x="15" s="1"/>
        <i x="20" s="1"/>
        <i x="4" s="1"/>
        <i x="13" s="1"/>
        <i x="0" s="1"/>
        <i x="12" s="1"/>
        <i x="5" s="1"/>
        <i x="3" s="1"/>
        <i x="6" s="1"/>
        <i x="7" s="1"/>
        <i x="8" s="1"/>
        <i x="9" s="1"/>
        <i x="11" s="1"/>
        <i x="29" s="1" nd="1"/>
        <i x="30" s="1" nd="1"/>
        <i x="41" s="1" nd="1"/>
        <i x="37" s="1" nd="1"/>
        <i x="40" s="1" nd="1"/>
        <i x="52" s="1" nd="1"/>
        <i x="56" s="1" nd="1"/>
        <i x="24" s="1" nd="1"/>
        <i x="31" s="1" nd="1"/>
        <i x="27" s="1" nd="1"/>
        <i x="23" s="1" nd="1"/>
        <i x="22" s="1" nd="1"/>
        <i x="25" s="1" nd="1"/>
        <i x="26" s="1" nd="1"/>
        <i x="33" s="1" nd="1"/>
        <i x="34" s="1" nd="1"/>
        <i x="46" s="1" nd="1"/>
        <i x="61" s="1" nd="1"/>
        <i x="49" s="1" nd="1"/>
        <i x="35" s="1" nd="1"/>
        <i x="32" s="1" nd="1"/>
        <i x="28" s="1" nd="1"/>
        <i x="73" s="1" nd="1"/>
        <i x="72" s="1" nd="1"/>
        <i x="55" s="1" nd="1"/>
        <i x="38" s="1" nd="1"/>
        <i x="65" s="1" nd="1"/>
        <i x="66" s="1" nd="1"/>
        <i x="54" s="1" nd="1"/>
        <i x="57" s="1" nd="1"/>
        <i x="67" s="1" nd="1"/>
        <i x="58" s="1" nd="1"/>
        <i x="47" s="1" nd="1"/>
        <i x="44" s="1" nd="1"/>
        <i x="60" s="1" nd="1"/>
        <i x="51" s="1" nd="1"/>
        <i x="42" s="1" nd="1"/>
        <i x="69" s="1" nd="1"/>
        <i x="70" s="1" nd="1"/>
        <i x="64" s="1" nd="1"/>
        <i x="53" s="1" nd="1"/>
        <i x="62" s="1" nd="1"/>
        <i x="59" s="1" nd="1"/>
        <i x="43" s="1" nd="1"/>
        <i x="48" s="1" nd="1"/>
        <i x="68" s="1" nd="1"/>
        <i x="63" s="1" nd="1"/>
        <i x="45" s="1" nd="1"/>
        <i x="39" s="1" nd="1"/>
        <i x="50" s="1" nd="1"/>
        <i x="71" s="1" nd="1"/>
        <i x="74" s="1" nd="1"/>
        <i x="36" s="1" nd="1"/>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Datenschnitt_Modul" xr10:uid="{0785ED21-E7A7-48E0-B79C-D4A73F680BFF}" sourceName="Modul">
  <pivotTables>
    <pivotTable tabId="17" name="Pivot_Massen"/>
    <pivotTable tabId="17" name="Pivot_RMI"/>
    <pivotTable tabId="17" name="Pivot_norm"/>
    <pivotTable tabId="17" name="Pivot_PENRT"/>
    <pivotTable tabId="17" name="Pivot_WDP"/>
    <pivotTable tabId="17" name="Pivot_GWP"/>
  </pivotTables>
  <data>
    <tabular pivotCacheId="186940731" showMissing="0">
      <items count="19">
        <i x="0" s="1"/>
        <i x="1" s="1"/>
        <i x="14" nd="1"/>
        <i x="6" nd="1"/>
        <i x="4" nd="1"/>
        <i x="11" nd="1"/>
        <i x="15" nd="1"/>
        <i x="9" nd="1"/>
        <i x="13" nd="1"/>
        <i x="17" nd="1"/>
        <i x="8" nd="1"/>
        <i x="3" nd="1"/>
        <i x="16" nd="1"/>
        <i x="2" nd="1"/>
        <i x="10" nd="1"/>
        <i x="18" nd="1"/>
        <i x="5" nd="1"/>
        <i x="12" nd="1"/>
        <i x="7" nd="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Kostengruppe" xr10:uid="{73AC435F-85EF-43FC-AB05-9160C80F6DC3}" cache="Datenschnitt_Kostengruppe" caption="Kostengruppe" style="SlicerStyleLight6" rowHeight="234950"/>
  <slicer name="ID Baukonstruktion" xr10:uid="{BDFD7E78-B6D0-496D-A476-E4BB3AB243E0}" cache="Datenschnitt_ID_Baukonstruktion" caption="ID Baukonstruktion" style="SlicerStyleLight6" rowHeight="234950"/>
  <slicer name="Modul" xr10:uid="{8F8BA939-0ABE-4210-B54F-186BE2BFB45B}" cache="Datenschnitt_Modul" caption="Modul" rowHeight="234950"/>
</slicers>
</file>

<file path=xl/tables/_rels/table6.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7.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8.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_rels/table11.xml.rels><?xml version="1.0" encoding="UTF-8" standalone="yes"?>
<Relationships xmlns="http://schemas.openxmlformats.org/package/2006/relationships"><Relationship Id="rId1" Type="http://schemas.openxmlformats.org/officeDocument/2006/relationships/queryTable" Target="../queryTables/queryTable4.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58A3059C-2FF6-4E84-8891-8FA9D9678CEB}" name="Dämmstoffvarianten" displayName="Dämmstoffvarianten" ref="Y11:Z14" totalsRowShown="0" headerRowDxfId="322" dataDxfId="321">
  <autoFilter ref="Y11:Z14" xr:uid="{58A3059C-2FF6-4E84-8891-8FA9D9678CEB}"/>
  <tableColumns count="2">
    <tableColumn id="1" xr3:uid="{BECAB22A-E9E0-4405-A3C1-6E7F3D4BF9B4}" name="Variante" dataDxfId="320"/>
    <tableColumn id="2" xr3:uid="{0195776C-6DB1-4F5D-B075-590C264CA63E}" name="Differenz Dämmstoffedicke zu Referenz [mm]" dataDxfId="319"/>
  </tableColumns>
  <tableStyleInfo name="TableStyleLight2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1B1593EC-9260-4E88-B6AD-986E2F228BDA}" name="Tabelle1722" displayName="Tabelle1722" ref="B11:E16" totalsRowShown="0" headerRowDxfId="203" dataDxfId="202">
  <autoFilter ref="B11:E16" xr:uid="{1B1593EC-9260-4E88-B6AD-986E2F228BDA}"/>
  <tableColumns count="4">
    <tableColumn id="1" xr3:uid="{BA4AAAF2-A466-4020-95CD-9692A8E4A02C}" name="Kategorie" dataDxfId="201"/>
    <tableColumn id="3" xr3:uid="{4CD5F991-50C9-4E5D-8228-F078BCB21365}" name="Kurzzeichen" dataDxfId="200"/>
    <tableColumn id="4" xr3:uid="{C0138D12-3EA6-44B8-9B39-5FD0DB7F92FE}" name="Einheit" dataDxfId="199"/>
    <tableColumn id="2" xr3:uid="{F81E915D-3528-47F9-AB4D-DBD940E5CE14}" name="Modell" dataDxfId="198"/>
  </tableColumns>
  <tableStyleInfo name="TableStyleMedium7"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A21480F8-071F-4D1E-B31A-E996D97A0181}" name="decision_making_process" displayName="decision_making_process" ref="A20:D24" totalsRowShown="0">
  <autoFilter ref="A20:D24" xr:uid="{A21480F8-071F-4D1E-B31A-E996D97A0181}"/>
  <tableColumns count="4">
    <tableColumn id="5" xr3:uid="{340A3900-F966-441D-8430-B22619678638}" name="Indikator" dataDxfId="197"/>
    <tableColumn id="6" xr3:uid="{71C3FD2A-E05D-4FF3-BA58-E53B2029E393}" name="Einheit" dataDxfId="196"/>
    <tableColumn id="9" xr3:uid="{BB360518-641B-4B0C-AF3D-E7124AC0B4F1}" name="Referenzwert" dataDxfId="195"/>
    <tableColumn id="13" xr3:uid="{B8A82BA0-BDD8-4323-924C-8EAF02F606CC}" name="Quelle" dataDxfId="194"/>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1C28985-496B-417C-BFC0-3934EB7F1214}" name="Baukon_neu" displayName="Baukon_neu" ref="A18:AZ58" totalsRowShown="0" headerRowDxfId="191" dataDxfId="190">
  <autoFilter ref="A18:AZ58" xr:uid="{51C28985-496B-417C-BFC0-3934EB7F1214}"/>
  <sortState xmlns:xlrd2="http://schemas.microsoft.com/office/spreadsheetml/2017/richdata2" ref="A19:AW19">
    <sortCondition ref="A18:A19"/>
  </sortState>
  <tableColumns count="52">
    <tableColumn id="1" xr3:uid="{C48CB2CF-952F-42D5-B04E-A2DF0DD6F5AE}" name="Kostengruppe" dataDxfId="189"/>
    <tableColumn id="61" xr3:uid="{C4099645-6110-4945-9080-6A2E387CC908}" name="Name Baukonstruktion" dataDxfId="188"/>
    <tableColumn id="59" xr3:uid="{BA4B2546-CD81-4A18-8004-ECBC658B932F}" name="Variante Nummer" dataDxfId="187"/>
    <tableColumn id="63" xr3:uid="{F3035935-B030-4A54-9D06-71DE546817B6}" name="Variante Name" dataDxfId="186"/>
    <tableColumn id="4" xr3:uid="{0A3EA1D7-9929-434C-85D3-8AFE8A526F27}" name="ID Baukonstruktion" dataDxfId="185">
      <calculatedColumnFormula>Baukon_neu[[#This Row],[Variante Nummer]]&amp;". "&amp;Baukon_neu[[#This Row],[Name Baukonstruktion]]&amp;" | " &amp;Baukon_neu[[#This Row],[Variante Name]]</calculatedColumnFormula>
    </tableColumn>
    <tableColumn id="2" xr3:uid="{7E536911-F912-44FC-9DC9-888D486E3742}" name="Prüfung id" dataDxfId="184">
      <calculatedColumnFormula>IF(IFERROR(_xlfn.XLOOKUP(Baukon_neu[[#This Row],[ID Baukonstruktion]],Baukon_alle_A1_A3_results[ID Baukonstruktion],Baukon_alle_A1_A3_results[ID Baukonstruktion]),"okay")="okay", "okay","Achtung, id wird bereits verwendet")</calculatedColumnFormula>
    </tableColumn>
    <tableColumn id="5" xr3:uid="{E909C2A8-1EC6-4A00-8D70-F17549933F21}" name="Schicht" dataDxfId="183"/>
    <tableColumn id="8" xr3:uid="{0D5A9059-A098-4F78-9382-C9FB95CC36FD}" name="Produkt" dataDxfId="182"/>
    <tableColumn id="26" xr3:uid="{D98A8016-066F-4C78-8F49-E5DE3AB95B46}" name="ist Dämmstoff?" dataDxfId="181"/>
    <tableColumn id="6" xr3:uid="{B46639F3-0A38-4945-A684-4E5B957397B7}" name="Dicke [mm] Referenz" dataDxfId="180"/>
    <tableColumn id="21" xr3:uid="{E7660FB6-8DF4-402F-818C-FECA20FADC78}" name="Dicke [mm] min" dataDxfId="179">
      <calculatedColumnFormula>IF(Baukon_neu[[#This Row],[ist Dämmstoff?]]="ja",Baukon_neu[[#This Row],[Dicke '[mm'] Referenz]]+_xlfn.XLOOKUP(RIGHT(Baukon_neu[[#Headers],[Dicke '[mm'] min]],3),Dämmstoffvarianten[Variante],Dämmstoffvarianten[Differenz Dämmstoffedicke zu Referenz '[mm']]),Baukon_neu[[#This Row],[Dicke '[mm'] Referenz]])</calculatedColumnFormula>
    </tableColumn>
    <tableColumn id="27" xr3:uid="{615F7FED-1047-4A24-BF70-5D6DC92DA943}" name="Dicke [mm] max" dataDxfId="178">
      <calculatedColumnFormula>IF(Baukon_neu[[#This Row],[ist Dämmstoff?]]="ja",Baukon_neu[[#This Row],[Dicke '[mm'] Referenz]]+_xlfn.XLOOKUP(RIGHT(Baukon_neu[[#Headers],[Dicke '[mm'] max]],3),Dämmstoffvarianten[Variante],Dämmstoffvarianten[Differenz Dämmstoffedicke zu Referenz '[mm']]),Baukon_neu[[#This Row],[Dicke '[mm'] Referenz]])</calculatedColumnFormula>
    </tableColumn>
    <tableColumn id="65" xr3:uid="{A2CCC8A8-1C65-4720-AD82-686A733E2D59}" name="Flächenanteil [%]" dataDxfId="177"/>
    <tableColumn id="19" xr3:uid="{C907546A-8C17-4D8A-A793-B40C58CDB440}" name="Länge [m/m²]" dataDxfId="176"/>
    <tableColumn id="14" xr3:uid="{252253BF-3D79-45FF-BC78-CD5C9159C8CD}" name="Volumen [m³/m²] Referenz" dataDxfId="175">
      <calculatedColumnFormula>IFERROR(Baukon_neu[[#This Row],[Dicke '[mm'] Referenz]]/1000*Baukon_neu[[#This Row],[Flächenanteil '[%']]],"")</calculatedColumnFormula>
    </tableColumn>
    <tableColumn id="22" xr3:uid="{C6CD6652-0276-4D37-B615-3E067E390070}" name="Volumen [m³/m²] min" dataDxfId="174">
      <calculatedColumnFormula>IFERROR(Baukon_neu[[#This Row],[Dicke '[mm'] min]]/1000*Baukon_neu[[#This Row],[Flächenanteil '[%']]],"")</calculatedColumnFormula>
    </tableColumn>
    <tableColumn id="29" xr3:uid="{B64BE587-955F-4ED4-9460-37B51512616B}" name="Volumen [m³/m²] max" dataDxfId="173">
      <calculatedColumnFormula>IFERROR(Baukon_neu[[#This Row],[Dicke '[mm'] max]]/1000*Baukon_neu[[#This Row],[Flächenanteil '[%']]],"")</calculatedColumnFormula>
    </tableColumn>
    <tableColumn id="7" xr3:uid="{2FBF74A0-F1FC-47EA-ABA0-31DBEE25E4AB}" name="Kommentar" dataDxfId="172"/>
    <tableColumn id="9" xr3:uid="{E5214BA9-86DF-4277-9225-9EDF3E018938}" name="LCA Datensatz" dataDxfId="171">
      <calculatedColumnFormula>IFERROR(_xlfn.XLOOKUP(Baukon_neu[[#This Row],[Produkt]],LeitRess_Materialien[Name],LeitRess_Materialien[Material_UUID]),"")</calculatedColumnFormula>
    </tableColumn>
    <tableColumn id="10" xr3:uid="{8C30400F-3277-4541-BD73-868F852B2770}" name="Rohdichte [kg/m³]" dataDxfId="170">
      <calculatedColumnFormula>IF(OR(Baukon_neu[[#This Row],[Rohdichte '[kg/m³'], Eingabe ]]="", Baukon_neu[[#This Row],[Rohdichte '[kg/m³'], Eingabe ]]="0"),_xlfn.XLOOKUP(Baukon_neu[[#This Row],[LCA Datensatz]],LeitRess_Materialien[Material_UUID],LeitRess_Materialien[Rohdichte_'[kg/m3']]),Baukon_neu[[#This Row],[Rohdichte '[kg/m³'], Eingabe ]])</calculatedColumnFormula>
    </tableColumn>
    <tableColumn id="11" xr3:uid="{37774348-3F36-4D52-9E8C-BD01A4A6C687}" name="Flächengewicht [kg/m²]" dataDxfId="169">
      <calculatedColumnFormula>IF(OR(Baukon_neu[[#This Row],[Flächengewicht '[kg/m²'], Eingabe ]]="", Baukon_neu[[#This Row],[Flächengewicht '[kg/m²'], Eingabe ]]="0"),_xlfn.XLOOKUP(Baukon_neu[[#This Row],[LCA Datensatz]],LeitRess_Materialien[Material_UUID],LeitRess_Materialien[Flächengewicht_'[kg/m2']]),Baukon_neu[[#This Row],[Flächengewicht '[kg/m²'], Eingabe ]])</calculatedColumnFormula>
    </tableColumn>
    <tableColumn id="12" xr3:uid="{10319C0A-8E98-4FD2-9515-FB9B48936427}" name="Längengewicht [kg/m]" dataDxfId="168">
      <calculatedColumnFormula>IF(OR(Baukon_neu[[#This Row],[Längengewicht '[kg/m'], Eingabe ]]="", Baukon_neu[[#This Row],[Längengewicht '[kg/m'], Eingabe ]]="0"),_xlfn.XLOOKUP(Baukon_neu[[#This Row],[LCA Datensatz]],LeitRess_Materialien[Material_UUID],LeitRess_Materialien[Längengewicht_'[kg/m']]),Baukon_neu[[#This Row],[Längengewicht '[kg/m'], Eingabe ]])</calculatedColumnFormula>
    </tableColumn>
    <tableColumn id="68" xr3:uid="{9C2D3365-C9F8-4D37-8826-491A625A985F}" name="lambda_[W/mK]" dataDxfId="167">
      <calculatedColumnFormula>IF(OR(Baukon_neu[[#This Row],[lambda_'[W/mK'], Eingabe ]]="", Baukon_neu[[#This Row],[lambda_'[W/mK'], Eingabe ]]="0"),_xlfn.XLOOKUP(Baukon_neu[[#This Row],[LCA Datensatz]],LeitRess_Materialien[Material_UUID],LeitRess_Materialien[lambda_'[W/mK']]),Baukon_neu[[#This Row],[lambda_'[W/mK'], Eingabe ]])</calculatedColumnFormula>
    </tableColumn>
    <tableColumn id="72" xr3:uid="{5D7C8C1E-C02C-4F95-956B-8E39F93FF0E1}" name="Rohdichte [kg/m³], Eingabe " dataDxfId="166"/>
    <tableColumn id="71" xr3:uid="{F6A76564-2C9B-4549-856E-F2DEBB33CF75}" name="Flächengewicht [kg/m²], Eingabe " dataDxfId="165"/>
    <tableColumn id="70" xr3:uid="{86E6507D-3ADF-4ACD-83E0-7AF246068A9F}" name="Längengewicht [kg/m], Eingabe " dataDxfId="164"/>
    <tableColumn id="69" xr3:uid="{CFF87145-15DE-4A13-ABC7-ECF1F21E2EE5}" name="lambda_[W/mK], Eingabe " dataDxfId="163"/>
    <tableColumn id="15" xr3:uid="{44B6EA0A-4ED4-4CD7-8392-1341BACD7C4D}" name="Masse [kg/m²] Referenz" dataDxfId="162">
      <calculatedColumnFormula>IFERROR(
    IF(Baukon_neu[[#This Row],[Länge '[m/m²']]]*Baukon_neu[[#This Row],[Längengewicht '[kg/m']]]&lt;&gt;0, Baukon_neu[[#This Row],[Länge '[m/m²']]]*Baukon_neu[[#This Row],[Längengewicht '[kg/m']]],
       IF( Baukon_neu[[#This Row],[Volumen '[m³/m²'] Referenz]]*Baukon_neu[[#This Row],[Rohdichte '[kg/m³']]]&lt;&gt;0,
        Baukon_neu[[#This Row],[Volumen '[m³/m²'] Referenz]]*Baukon_neu[[#This Row],[Rohdichte '[kg/m³']]],
                Baukon_neu[[#This Row],[Flächenanteil '[%']]]*Baukon_neu[[#This Row],[Flächengewicht '[kg/m²']]])),"")</calculatedColumnFormula>
    </tableColumn>
    <tableColumn id="24" xr3:uid="{5F569F98-77A4-4907-8F43-17012FD6FA63}" name="Masse [kg/m²] min" dataDxfId="161">
      <calculatedColumnFormula>IFERROR(
    IF(Baukon_neu[[#This Row],[Länge '[m/m²']]]*Baukon_neu[[#This Row],[Längengewicht '[kg/m']]]&lt;&gt;0, Baukon_neu[[#This Row],[Länge '[m/m²']]]*Baukon_neu[[#This Row],[Längengewicht '[kg/m']]],
       IF( Baukon_neu[[#This Row],[Volumen '[m³/m²'] min]]*Baukon_neu[[#This Row],[Rohdichte '[kg/m³']]]&lt;&gt;0,
        Baukon_neu[[#This Row],[Volumen '[m³/m²'] min]]*Baukon_neu[[#This Row],[Rohdichte '[kg/m³']]],
                Baukon_neu[[#This Row],[Flächenanteil '[%']]]*Baukon_neu[[#This Row],[Flächengewicht '[kg/m²']]])),"")</calculatedColumnFormula>
    </tableColumn>
    <tableColumn id="31" xr3:uid="{DE62DD0B-3648-4A05-8201-93656DE7787A}" name="Masse [kg/m²] max" dataDxfId="160">
      <calculatedColumnFormula>IFERROR(
    IF(Baukon_neu[[#This Row],[Länge '[m/m²']]]*Baukon_neu[[#This Row],[Längengewicht '[kg/m']]]&lt;&gt;0, Baukon_neu[[#This Row],[Länge '[m/m²']]]*Baukon_neu[[#This Row],[Längengewicht '[kg/m']]],
       IF( Baukon_neu[[#This Row],[Volumen '[m³/m²'] max]]*Baukon_neu[[#This Row],[Rohdichte '[kg/m³']]]&lt;&gt;0,
        Baukon_neu[[#This Row],[Volumen '[m³/m²'] max]]*Baukon_neu[[#This Row],[Rohdichte '[kg/m³']]],
                Baukon_neu[[#This Row],[Flächenanteil '[%']]]*Baukon_neu[[#This Row],[Flächengewicht '[kg/m²']]])),"")</calculatedColumnFormula>
    </tableColumn>
    <tableColumn id="67" xr3:uid="{A06D97DB-8580-4308-B22A-EEF128550618}" name="R [m²K/W] Referenz" dataDxfId="159">
      <calculatedColumnFormula>IFERROR(Baukon_neu[[#This Row],[Dicke '[mm'] Referenz]]/Baukon_neu[[#This Row],[lambda_'[W/mK']]],"")</calculatedColumnFormula>
    </tableColumn>
    <tableColumn id="33" xr3:uid="{85A6A0A5-F5AF-4283-9EB9-7AD46946378E}" name="RMI [kg Primärrohstoffe/m²] Referenz" dataDxfId="158">
      <calculatedColumnFormula>_xlfn.XLOOKUP(Baukon_neu[[#This Row],[LCA Datensatz]],LeitRess_Materialien[Material_UUID],LeitRess_Materialien[RMI '[kg Primärrohstoffe / kg']])*Baukon_neu[[#This Row],[Masse '[kg/m²'] Referenz]]</calculatedColumnFormula>
    </tableColumn>
    <tableColumn id="43" xr3:uid="{F3366AA7-845C-41FC-8264-7E5AA1D4F6CF}" name="RMI [kg Primärrohstoffe/m²] min" dataDxfId="157">
      <calculatedColumnFormula>_xlfn.XLOOKUP(Baukon_neu[[#This Row],[LCA Datensatz]],LeitRess_Materialien[Material_UUID],LeitRess_Materialien[RMI '[kg Primärrohstoffe / kg']])*Baukon_neu[[#This Row],[Masse '[kg/m²'] min]]</calculatedColumnFormula>
    </tableColumn>
    <tableColumn id="53" xr3:uid="{E1ADBD39-3008-4EC3-9CD3-36DE24FD89F6}" name="RMI [kg Primärrohstoffe/m²] max" dataDxfId="156">
      <calculatedColumnFormula>_xlfn.XLOOKUP(Baukon_neu[[#This Row],[LCA Datensatz]],LeitRess_Materialien[Material_UUID],LeitRess_Materialien[RMI '[kg Primärrohstoffe / kg']])*Baukon_neu[[#This Row],[Masse '[kg/m²'] max]]</calculatedColumnFormula>
    </tableColumn>
    <tableColumn id="34" xr3:uid="{225EFA32-8CB7-478D-8490-AB85B597DC91}" name="TMR [kg Gesamtmaterialaufwand/m²] Referenz" dataDxfId="155">
      <calculatedColumnFormula>_xlfn.XLOOKUP(Baukon_neu[[#This Row],[LCA Datensatz]],LeitRess_Materialien[Material_UUID],LeitRess_Materialien[TMR '[kg Gesamtmaterialaufwand/kg']])*Baukon_neu[[#This Row],[Masse '[kg/m²'] Referenz]]</calculatedColumnFormula>
    </tableColumn>
    <tableColumn id="44" xr3:uid="{C1025749-FEB9-47FE-B2E5-9F543AA1210F}" name="TMR [kg Gesamtmaterialaufwand/m²] min" dataDxfId="154">
      <calculatedColumnFormula>_xlfn.XLOOKUP(Baukon_neu[[#This Row],[LCA Datensatz]],LeitRess_Materialien[Material_UUID],LeitRess_Materialien[TMR '[kg Gesamtmaterialaufwand/kg']])*Baukon_neu[[#This Row],[Masse '[kg/m²'] min]]</calculatedColumnFormula>
    </tableColumn>
    <tableColumn id="54" xr3:uid="{EBAA9EF3-9514-4153-B782-E60FE4BAC264}" name="TMR [kg Gesamtmaterialaufwand/m²] max" dataDxfId="153">
      <calculatedColumnFormula>_xlfn.XLOOKUP(Baukon_neu[[#This Row],[LCA Datensatz]],LeitRess_Materialien[Material_UUID],LeitRess_Materialien[TMR '[kg Gesamtmaterialaufwand/kg']])*Baukon_neu[[#This Row],[Masse '[kg/m²'] max]]</calculatedColumnFormula>
    </tableColumn>
    <tableColumn id="35" xr3:uid="{C7488ED4-C38C-4940-97CE-9C4323874566}" name="GWP [kg CO2-Äqu./m²] Referenz" dataDxfId="152">
      <calculatedColumnFormula>_xlfn.XLOOKUP(Baukon_neu[[#This Row],[LCA Datensatz]],LeitRess_Materialien[Material_UUID],LeitRess_Materialien[GWP '[kg CO2-Äqu./kg']])*Baukon_neu[[#This Row],[Masse '[kg/m²'] Referenz]]</calculatedColumnFormula>
    </tableColumn>
    <tableColumn id="45" xr3:uid="{5AF9CCF6-C411-4CA9-BCE0-4A9E753ECC92}" name="GWP [kg CO2-Äqu./m²] min" dataDxfId="151">
      <calculatedColumnFormula>_xlfn.XLOOKUP(Baukon_neu[[#This Row],[LCA Datensatz]],LeitRess_Materialien[Material_UUID],LeitRess_Materialien[GWP '[kg CO2-Äqu./kg']])*Baukon_neu[[#This Row],[Masse '[kg/m²'] min]]</calculatedColumnFormula>
    </tableColumn>
    <tableColumn id="55" xr3:uid="{6F30AFB3-BE95-43ED-8090-88DFB30B0CB2}" name="GWP [kg CO2-Äqu./m²] max" dataDxfId="150">
      <calculatedColumnFormula>_xlfn.XLOOKUP(Baukon_neu[[#This Row],[LCA Datensatz]],LeitRess_Materialien[Material_UUID],LeitRess_Materialien[GWP '[kg CO2-Äqu./kg']])*Baukon_neu[[#This Row],[Masse '[kg/m²'] max]]</calculatedColumnFormula>
    </tableColumn>
    <tableColumn id="36" xr3:uid="{E36FFA12-C952-4F8B-B808-2DF03508B944}" name="PENRT [MJ/m²] Referenz" dataDxfId="149">
      <calculatedColumnFormula>_xlfn.XLOOKUP(Baukon_neu[[#This Row],[LCA Datensatz]],LeitRess_Materialien[Material_UUID],LeitRess_Materialien[PENRT '[MJ/kg']])*Baukon_neu[[#This Row],[Masse '[kg/m²'] Referenz]]</calculatedColumnFormula>
    </tableColumn>
    <tableColumn id="46" xr3:uid="{E987B53A-3164-4BBC-AC83-6EAAC348FED4}" name="PENRT [MJ/m²] min" dataDxfId="148">
      <calculatedColumnFormula>_xlfn.XLOOKUP(Baukon_neu[[#This Row],[LCA Datensatz]],LeitRess_Materialien[Material_UUID],LeitRess_Materialien[PENRT '[MJ/kg']])*Baukon_neu[[#This Row],[Masse '[kg/m²'] min]]</calculatedColumnFormula>
    </tableColumn>
    <tableColumn id="56" xr3:uid="{10D90DAD-18FD-4142-B598-570E2E32553A}" name="PENRT [MJ/m²] max" dataDxfId="147">
      <calculatedColumnFormula>_xlfn.XLOOKUP(Baukon_neu[[#This Row],[LCA Datensatz]],LeitRess_Materialien[Material_UUID],LeitRess_Materialien[PENRT '[MJ/kg']])*Baukon_neu[[#This Row],[Masse '[kg/m²'] max]]</calculatedColumnFormula>
    </tableColumn>
    <tableColumn id="37" xr3:uid="{746D53E4-49C4-4AD4-B0A3-CA7D71567569}" name="PERT [MJ/m²] Referenz" dataDxfId="146">
      <calculatedColumnFormula>_xlfn.XLOOKUP(Baukon_neu[[#This Row],[LCA Datensatz]],LeitRess_Materialien[Material_UUID],#REF!)*Baukon_neu[[#This Row],[Masse '[kg/m²'] Referenz]]</calculatedColumnFormula>
    </tableColumn>
    <tableColumn id="47" xr3:uid="{6CAB7806-3594-4328-836E-C9EB8F7421D7}" name="PERT [MJ/m²] min" dataDxfId="145">
      <calculatedColumnFormula>_xlfn.XLOOKUP(Baukon_neu[[#This Row],[LCA Datensatz]],LeitRess_Materialien[Material_UUID],#REF!)*Baukon_neu[[#This Row],[Masse '[kg/m²'] min]]</calculatedColumnFormula>
    </tableColumn>
    <tableColumn id="57" xr3:uid="{C9569ADA-73FB-4CEA-80A5-5257769D2954}" name="PERT [MJ/m²] max" dataDxfId="144">
      <calculatedColumnFormula>_xlfn.XLOOKUP(Baukon_neu[[#This Row],[LCA Datensatz]],LeitRess_Materialien[Material_UUID],#REF!)*Baukon_neu[[#This Row],[Masse '[kg/m²'] max]]</calculatedColumnFormula>
    </tableColumn>
    <tableColumn id="13" xr3:uid="{886BFAD4-E785-451C-9371-1E15ECE4B20C}" name="WDP [m² weighted water/m²] Referenz" dataDxfId="143">
      <calculatedColumnFormula>_xlfn.XLOOKUP(Baukon_neu[[#This Row],[LCA Datensatz]],LeitRess_Materialien[Material_UUID],LeitRess_Materialien[WDP '[m³ weighted water/kg']])*Baukon_neu[[#This Row],[Masse '[kg/m²'] Referenz]]</calculatedColumnFormula>
    </tableColumn>
    <tableColumn id="17" xr3:uid="{9551FF6D-E9DB-488B-8C48-24F7878FE546}" name="WDP [m² weighted water/m²] min" dataDxfId="142">
      <calculatedColumnFormula>_xlfn.XLOOKUP(Baukon_neu[[#This Row],[LCA Datensatz]],LeitRess_Materialien[Material_UUID],LeitRess_Materialien[WDP '[m³ weighted water/kg']])*Baukon_neu[[#This Row],[Masse '[kg/m²'] min]]</calculatedColumnFormula>
    </tableColumn>
    <tableColumn id="62" xr3:uid="{BBA76B0C-87CC-4D34-9EB9-35F716D97C8C}" name="WDP [m² weighted water/m²] max" dataDxfId="141">
      <calculatedColumnFormula>_xlfn.XLOOKUP(Baukon_neu[[#This Row],[LCA Datensatz]],LeitRess_Materialien[Material_UUID],LeitRess_Materialien[WDP '[m³ weighted water/kg']])*Baukon_neu[[#This Row],[Masse '[kg/m²'] max]]</calculatedColumnFormula>
    </tableColumn>
    <tableColumn id="3" xr3:uid="{5FF4EA12-0AA0-45F4-9ECF-FEF175AAD143}" name="Normierter Wert Referenz" dataDxfId="140">
      <calculatedColumnFormula>Baukon_neu[[#This Row],[GWP '[kg CO2-Äqu./m²'] Referenz]]/'Ausgabe Tabellen'!$C$21+Baukon_neu[[#This Row],[PENRT '[MJ/m²'] Referenz]]/'Ausgabe Tabellen'!$C$22+Baukon_neu[[#This Row],[RMI '[kg Primärrohstoffe/m²'] Referenz]]/'Ausgabe Tabellen'!$C$23+Baukon_neu[[#This Row],[WDP '[m² weighted water/m²'] Referenz]]/'Ausgabe Tabellen'!$C$24</calculatedColumnFormula>
    </tableColumn>
    <tableColumn id="60" xr3:uid="{49270CB3-66C9-4B98-8F00-D30B3C1828E6}" name="Normierter Wert min" dataDxfId="139">
      <calculatedColumnFormula>Baukon_neu[[#This Row],[GWP '[kg CO2-Äqu./m²'] min]]/'Ausgabe Tabellen'!$C$21+Baukon_neu[[#This Row],[PENRT '[MJ/m²'] min]]/'Ausgabe Tabellen'!$C$22+Baukon_neu[[#This Row],[RMI '[kg Primärrohstoffe/m²'] min]]/'Ausgabe Tabellen'!$C$23+Baukon_neu[[#This Row],[WDP '[m² weighted water/m²'] min]]/'Ausgabe Tabellen'!$C$24</calculatedColumnFormula>
    </tableColumn>
    <tableColumn id="66" xr3:uid="{061CC763-F1B7-4262-853E-246F30753DB0}" name="Normierter Wert max" dataDxfId="138">
      <calculatedColumnFormula>Baukon_neu[[#This Row],[GWP '[kg CO2-Äqu./m²'] max]]/'Ausgabe Tabellen'!$C$21+Baukon_neu[[#This Row],[PENRT '[MJ/m²'] max]]/'Ausgabe Tabellen'!$C$22+Baukon_neu[[#This Row],[RMI '[kg Primärrohstoffe/m²'] max]]/'Ausgabe Tabellen'!$C$23+Baukon_neu[[#This Row],[WDP '[m² weighted water/m²'] max]]/'Ausgabe Tabellen'!$C$24</calculatedColumnFormula>
    </tableColumn>
  </tableColumns>
  <tableStyleInfo name="TableStyleLight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586C5EB5-960C-4B0E-A4E4-46CAD88CBAF7}" name="Tabelle8" displayName="Tabelle8" ref="A15:F67" totalsRowShown="0" headerRowDxfId="137">
  <autoFilter ref="A15:F67" xr:uid="{586C5EB5-960C-4B0E-A4E4-46CAD88CBAF7}"/>
  <tableColumns count="6">
    <tableColumn id="1" xr3:uid="{309326A3-28CF-4D29-A468-18BE7B0C01DC}" name="Kategorie" dataDxfId="136"/>
    <tableColumn id="2" xr3:uid="{21A0F1C3-0E8A-4B49-B847-5ED59C34051F}" name="Material" dataDxfId="135"/>
    <tableColumn id="3" xr3:uid="{105B396B-E4BB-4069-A218-EA30CFAF39DF}" name="Datensatz verwendet" dataDxfId="134">
      <calculatedColumnFormula>IF(IFERROR(_xlfn.XLOOKUP(Tabelle8[[#This Row],[Material]],Baukon_alle_A1_A3_results[Material],Baukon_alle_A1_A3_results[Material]),"nein")="nein","nein","ja")</calculatedColumnFormula>
    </tableColumn>
    <tableColumn id="4" xr3:uid="{3AF312B6-5765-4EC1-99AA-9D0F626F1E3F}" name="Transportdistanz [km] Voreinstellung" dataDxfId="133"/>
    <tableColumn id="6" xr3:uid="{06384475-CD1E-419B-A852-0C81C35B5EB1}" name="Transportdistanz [km] Eingabe" dataDxfId="132"/>
    <tableColumn id="5" xr3:uid="{59C03575-9FC9-4950-83E4-F5F6006A5CBB}" name="Transport-Modus" dataDxfId="131"/>
  </tableColumns>
  <tableStyleInfo name="TableStyleLight7"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C19A9B97-9FFF-4362-829F-702ABE17EE8A}" name="Baukon_alle_A1_A3_A4_results" displayName="Baukon_alle_A1_A3_A4_results" ref="A1:L23" tableType="queryTable" totalsRowShown="0">
  <autoFilter ref="A1:L23" xr:uid="{C19A9B97-9FFF-4362-829F-702ABE17EE8A}"/>
  <sortState xmlns:xlrd2="http://schemas.microsoft.com/office/spreadsheetml/2017/richdata2" ref="A2:L23">
    <sortCondition ref="A1:A23"/>
  </sortState>
  <tableColumns count="12">
    <tableColumn id="1" xr3:uid="{44A6CA4C-6AD1-4915-B534-9B33F51C7502}" uniqueName="1" name="Kostengruppe" queryTableFieldId="1"/>
    <tableColumn id="2" xr3:uid="{6063C752-795A-4CA2-B620-8CEADE49E9D8}" uniqueName="2" name="ID Baukonstruktion" queryTableFieldId="2"/>
    <tableColumn id="3" xr3:uid="{6AF2A928-9B56-41BF-80DB-FF32763273FF}" uniqueName="3" name="RMI [kg Primärrohstoffe/m²] Referenz" queryTableFieldId="3" dataDxfId="130"/>
    <tableColumn id="4" xr3:uid="{3CA65D9B-8571-4C0B-8D56-24A3413EB3DB}" uniqueName="4" name="RMI [kg Primärrohstoffe/m²] min" queryTableFieldId="4" dataDxfId="129"/>
    <tableColumn id="5" xr3:uid="{890C9E3E-A445-4EEF-9018-580FD1EBA840}" uniqueName="5" name="RMI [kg Primärrohstoffe/m²] max" queryTableFieldId="5" dataDxfId="128"/>
    <tableColumn id="6" xr3:uid="{74DE6B6F-A453-4F55-A639-9FA6B116C1C9}" uniqueName="6" name="GWP [kg CO2-Äqu./m²] Referenz" queryTableFieldId="6" dataDxfId="127"/>
    <tableColumn id="7" xr3:uid="{6E8E05E4-A294-46E3-94FD-F7F9CB9737D9}" uniqueName="7" name="GWP [kg CO2-Äqu./m²] min" queryTableFieldId="7" dataDxfId="126"/>
    <tableColumn id="8" xr3:uid="{19A54701-8EB9-46E5-98BF-55BD26325EAC}" uniqueName="8" name="GWP [kg CO2-Äqu./m²] max" queryTableFieldId="8" dataDxfId="125"/>
    <tableColumn id="9" xr3:uid="{917C6A2E-4550-4D11-B596-7B2105C1F8D4}" uniqueName="9" name="PENRT [MJ/m²] Referenz" queryTableFieldId="9" dataDxfId="124"/>
    <tableColumn id="10" xr3:uid="{F958F11B-3C0F-498B-9448-05B9921F6E46}" uniqueName="10" name="PENRT [MJ/m²] min" queryTableFieldId="10" dataDxfId="123"/>
    <tableColumn id="11" xr3:uid="{C9A0AB5D-015A-47FA-9939-4E23B8F2D392}" uniqueName="11" name="PENRT [MJ/m²] max" queryTableFieldId="11" dataDxfId="122"/>
    <tableColumn id="12" xr3:uid="{6B9C07F4-6A12-4F51-BFC7-154F311602EA}" uniqueName="12" name="Modul" queryTableFieldId="12"/>
  </tableColumns>
  <tableStyleInfo name="TableStyleMedium7"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FCA0DAB3-98FF-46BA-A064-95F8A9723638}" name="Baukon_alle_A4_join" displayName="Baukon_alle_A4_join" ref="A1:AE87" tableType="queryTable" totalsRowShown="0">
  <autoFilter ref="A1:AE87" xr:uid="{FCA0DAB3-98FF-46BA-A064-95F8A9723638}"/>
  <tableColumns count="31">
    <tableColumn id="1" xr3:uid="{E52C2E27-5C85-428D-9DEC-3C016D8C8814}" uniqueName="1" name="Kostengruppe" queryTableFieldId="1"/>
    <tableColumn id="2" xr3:uid="{DB7F30DD-6EB2-4137-B302-8FA7A131E391}" uniqueName="2" name="Name Baukonstruktion" queryTableFieldId="2"/>
    <tableColumn id="3" xr3:uid="{AB5C18C4-BE9F-43D6-BD9B-33923C044648}" uniqueName="3" name="Variante Name" queryTableFieldId="3"/>
    <tableColumn id="4" xr3:uid="{3FDA3A5C-EC9A-40A3-BC77-90FEB94467F0}" uniqueName="4" name="ID Baukonstruktion" queryTableFieldId="4"/>
    <tableColumn id="5" xr3:uid="{63B8AB37-EDE5-433A-87EF-FC211E70A4A6}" uniqueName="5" name="Schicht" queryTableFieldId="5"/>
    <tableColumn id="6" xr3:uid="{96AD3C1F-ABEE-4258-9C0F-958D341CF5B6}" uniqueName="6" name="Material" queryTableFieldId="6"/>
    <tableColumn id="7" xr3:uid="{11DE3A53-452B-4B23-A13C-A7F63B307F94}" uniqueName="7" name="Masse [kg/m²] Referenz" queryTableFieldId="7"/>
    <tableColumn id="8" xr3:uid="{B58A71CB-863A-456B-86B0-2B59A658882F}" uniqueName="8" name="Masse [kg/m²] min" queryTableFieldId="8"/>
    <tableColumn id="9" xr3:uid="{94F362BE-8BB6-438F-B494-947969F13CAC}" uniqueName="9" name="Masse [kg/m²] max" queryTableFieldId="9"/>
    <tableColumn id="12" xr3:uid="{3E2B5CA5-5A40-420E-A366-88A41A32879C}" uniqueName="12" name="ist Dämmstoff?" queryTableFieldId="66"/>
    <tableColumn id="10" xr3:uid="{DBB7E609-8B56-4DBA-837C-0E5CFA8650CE}" uniqueName="10" name="Modul" queryTableFieldId="10"/>
    <tableColumn id="13" xr3:uid="{C1C65E0E-D2C7-4211-968F-4588F64D3A3E}" uniqueName="13" name="Transportdistanz.Voreinstellung" queryTableFieldId="63"/>
    <tableColumn id="14" xr3:uid="{E0518B5C-7BB4-43A3-AD46-24812677D488}" uniqueName="14" name="Transport.Transport-Modus" queryTableFieldId="64"/>
    <tableColumn id="34" xr3:uid="{81389D2A-AD2C-46A4-A21F-6399166034A7}" uniqueName="34" name="RMI [kg Primärrohstoffe/m²] Referenz" queryTableFieldId="34" dataDxfId="121">
      <calculatedColumnFormula>_xlfn.XLOOKUP(Baukon_alle_A4_join[[#This Row],[Transport.Transport-Modus]],LeitRess_Materialien[Name],LeitRess_Materialien[RMI '[kg Primärrohstoffe / kg']])*Baukon_alle_A4_join[[#This Row],[Transportdistanz.Voreinstellung]]*Baukon_alle_A4_join[[#This Row],[Masse '[kg/m²'] Referenz]]</calculatedColumnFormula>
    </tableColumn>
    <tableColumn id="35" xr3:uid="{8F384879-7EEE-4CA3-B5A5-B4E91ACC428A}" uniqueName="35" name="RMI [kg Primärrohstoffe/m²] min" queryTableFieldId="35" dataDxfId="120">
      <calculatedColumnFormula>_xlfn.XLOOKUP(Baukon_alle_A4_join[[#This Row],[Transport.Transport-Modus]],LeitRess_Materialien[Name],LeitRess_Materialien[RMI '[kg Primärrohstoffe / kg']])*Baukon_alle_A4_join[[#This Row],[Transportdistanz.Voreinstellung]]*Baukon_alle_A4_join[[#This Row],[Masse '[kg/m²'] min]]</calculatedColumnFormula>
    </tableColumn>
    <tableColumn id="36" xr3:uid="{AD1BB23A-FE9C-45A4-B04D-9962D9642E15}" uniqueName="36" name="RMI [kg Primärrohstoffe/m²] max" queryTableFieldId="36" dataDxfId="119">
      <calculatedColumnFormula>_xlfn.XLOOKUP(Baukon_alle_A4_join[[#This Row],[Transport.Transport-Modus]],LeitRess_Materialien[Name],LeitRess_Materialien[RMI '[kg Primärrohstoffe / kg']])*Baukon_alle_A4_join[[#This Row],[Transportdistanz.Voreinstellung]]*Baukon_alle_A4_join[[#This Row],[Masse '[kg/m²'] max]]</calculatedColumnFormula>
    </tableColumn>
    <tableColumn id="37" xr3:uid="{20FC88DD-4FCA-4F9B-BF50-5FB882D84BD4}" uniqueName="37" name="TMR [kg Gesamtmaterialaufwand/m²] Referenz" queryTableFieldId="37" dataDxfId="118">
      <calculatedColumnFormula>_xlfn.XLOOKUP(Baukon_alle_A4_join[[#This Row],[Transport.Transport-Modus]],LeitRess_Materialien[Name],LeitRess_Materialien[TMR '[kg Gesamtmaterialaufwand/kg']])*Baukon_alle_A4_join[[#This Row],[Transportdistanz.Voreinstellung]]*Baukon_alle_A4_join[[#This Row],[Masse '[kg/m²'] Referenz]]</calculatedColumnFormula>
    </tableColumn>
    <tableColumn id="38" xr3:uid="{9A3D154C-D0D5-4C25-84F3-5DE2A72770EE}" uniqueName="38" name="TMR [kg Gesamtmaterialaufwand/m²] min" queryTableFieldId="38" dataDxfId="117">
      <calculatedColumnFormula>_xlfn.XLOOKUP(Baukon_alle_A4_join[[#This Row],[Transport.Transport-Modus]],LeitRess_Materialien[Name],LeitRess_Materialien[TMR '[kg Gesamtmaterialaufwand/kg']])*Baukon_alle_A4_join[[#This Row],[Transportdistanz.Voreinstellung]]*Baukon_alle_A4_join[[#This Row],[Masse '[kg/m²'] min]]</calculatedColumnFormula>
    </tableColumn>
    <tableColumn id="39" xr3:uid="{0712BB72-2BE7-4C83-B093-D18A54CD2F89}" uniqueName="39" name="TMR [kg Gesamtmaterialaufwand/m²] max" queryTableFieldId="39" dataDxfId="116">
      <calculatedColumnFormula>_xlfn.XLOOKUP(Baukon_alle_A4_join[[#This Row],[Transport.Transport-Modus]],LeitRess_Materialien[Name],LeitRess_Materialien[TMR '[kg Gesamtmaterialaufwand/kg']])*Baukon_alle_A4_join[[#This Row],[Transportdistanz.Voreinstellung]]*Baukon_alle_A4_join[[#This Row],[Masse '[kg/m²'] max]]</calculatedColumnFormula>
    </tableColumn>
    <tableColumn id="40" xr3:uid="{76B73658-8C24-4E6A-8527-1D228E580E5B}" uniqueName="40" name="GWP [kg CO2-Äqu./m²] Referenz" queryTableFieldId="40" dataDxfId="115">
      <calculatedColumnFormula>_xlfn.XLOOKUP(Baukon_alle_A4_join[[#This Row],[Transport.Transport-Modus]],LeitRess_Materialien[Name],LeitRess_Materialien[GWP '[kg CO2-Äqu./kg']])*Baukon_alle_A4_join[[#This Row],[Transportdistanz.Voreinstellung]]*Baukon_alle_A4_join[[#This Row],[Masse '[kg/m²'] Referenz]]</calculatedColumnFormula>
    </tableColumn>
    <tableColumn id="41" xr3:uid="{A4C4822E-4888-48D6-9B4E-F21A056F9BB1}" uniqueName="41" name="GWP [kg CO2-Äqu./m²] min" queryTableFieldId="41" dataDxfId="114">
      <calculatedColumnFormula>_xlfn.XLOOKUP(Baukon_alle_A4_join[[#This Row],[Transport.Transport-Modus]],LeitRess_Materialien[Name],LeitRess_Materialien[GWP '[kg CO2-Äqu./kg']])*Baukon_alle_A4_join[[#This Row],[Transportdistanz.Voreinstellung]]*Baukon_alle_A4_join[[#This Row],[Masse '[kg/m²'] min]]</calculatedColumnFormula>
    </tableColumn>
    <tableColumn id="42" xr3:uid="{984AB4FB-0985-4080-A95E-FC161C0245C7}" uniqueName="42" name="GWP [kg CO2-Äqu./m²] max" queryTableFieldId="42" dataDxfId="113">
      <calculatedColumnFormula>_xlfn.XLOOKUP(Baukon_alle_A4_join[[#This Row],[Transport.Transport-Modus]],LeitRess_Materialien[Name],LeitRess_Materialien[GWP '[kg CO2-Äqu./kg']])*Baukon_alle_A4_join[[#This Row],[Transportdistanz.Voreinstellung]]*Baukon_alle_A4_join[[#This Row],[Masse '[kg/m²'] max]]</calculatedColumnFormula>
    </tableColumn>
    <tableColumn id="43" xr3:uid="{D8A36B34-9C40-495D-B383-EB661948FFD1}" uniqueName="43" name="PENRT [MJ/m²] Referenz" queryTableFieldId="43" dataDxfId="112">
      <calculatedColumnFormula>_xlfn.XLOOKUP(Baukon_alle_A4_join[[#This Row],[Transport.Transport-Modus]],LeitRess_Materialien[Name],LeitRess_Materialien[PENRT '[MJ/kg']])*Baukon_alle_A4_join[[#This Row],[Transportdistanz.Voreinstellung]]*Baukon_alle_A4_join[[#This Row],[Masse '[kg/m²'] Referenz]]</calculatedColumnFormula>
    </tableColumn>
    <tableColumn id="44" xr3:uid="{BF7963AE-EA81-4660-879F-4D85717784C1}" uniqueName="44" name="PENRT [MJ/m²] min" queryTableFieldId="44" dataDxfId="111">
      <calculatedColumnFormula>_xlfn.XLOOKUP(Baukon_alle_A4_join[[#This Row],[Transport.Transport-Modus]],LeitRess_Materialien[Name],LeitRess_Materialien[PENRT '[MJ/kg']])*Baukon_alle_A4_join[[#This Row],[Transportdistanz.Voreinstellung]]*Baukon_alle_A4_join[[#This Row],[Masse '[kg/m²'] min]]</calculatedColumnFormula>
    </tableColumn>
    <tableColumn id="45" xr3:uid="{10667BBC-C1F2-431F-AE26-68FAE50BCF4D}" uniqueName="45" name="PENRT [MJ/m²] max" queryTableFieldId="45" dataDxfId="110">
      <calculatedColumnFormula>_xlfn.XLOOKUP(Baukon_alle_A4_join[[#This Row],[Transport.Transport-Modus]],LeitRess_Materialien[Name],LeitRess_Materialien[PENRT '[MJ/kg']])*Baukon_alle_A4_join[[#This Row],[Transportdistanz.Voreinstellung]]*Baukon_alle_A4_join[[#This Row],[Masse '[kg/m²'] max]]</calculatedColumnFormula>
    </tableColumn>
    <tableColumn id="49" xr3:uid="{B8FC8F43-B0B2-487F-9C91-5005E6EBCD48}" uniqueName="49" name="WDP [m² weighted water/m²] Referenz" queryTableFieldId="49" dataDxfId="109">
      <calculatedColumnFormula>_xlfn.XLOOKUP(Baukon_alle_A4_join[[#This Row],[Transport.Transport-Modus]],LeitRess_Materialien[Name],LeitRess_Materialien[WDP '[m³ weighted water/kg']])*Baukon_alle_A4_join[[#This Row],[Transportdistanz.Voreinstellung]]*Baukon_alle_A4_join[[#This Row],[Masse '[kg/m²'] Referenz]]</calculatedColumnFormula>
    </tableColumn>
    <tableColumn id="50" xr3:uid="{8BCFD9DD-10DD-4348-9519-9B238B127EF2}" uniqueName="50" name="WDP [m² weighted water/m²] min" queryTableFieldId="50" dataDxfId="108">
      <calculatedColumnFormula>_xlfn.XLOOKUP(Baukon_alle_A4_join[[#This Row],[Transport.Transport-Modus]],LeitRess_Materialien[Name],LeitRess_Materialien[WDP '[m³ weighted water/kg']])*Baukon_alle_A4_join[[#This Row],[Transportdistanz.Voreinstellung]]*Baukon_alle_A4_join[[#This Row],[Masse '[kg/m²'] min]]</calculatedColumnFormula>
    </tableColumn>
    <tableColumn id="51" xr3:uid="{95EDE0C2-1596-4630-AE89-8AB853AFFABC}" uniqueName="51" name="WDP [m² weighted water/m²] max" queryTableFieldId="51" dataDxfId="107">
      <calculatedColumnFormula>_xlfn.XLOOKUP(Baukon_alle_A4_join[[#This Row],[Transport.Transport-Modus]],LeitRess_Materialien[Name],LeitRess_Materialien[WDP '[m³ weighted water/kg']])*Baukon_alle_A4_join[[#This Row],[Transportdistanz.Voreinstellung]]*Baukon_alle_A4_join[[#This Row],[Masse '[kg/m²'] max]]</calculatedColumnFormula>
    </tableColumn>
    <tableColumn id="52" xr3:uid="{DC7492A3-1647-409D-81EA-3FB1EC229FB4}" uniqueName="52" name="Normierter Wert Referenz" queryTableFieldId="52" dataDxfId="106">
      <calculatedColumnFormula>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calculatedColumnFormula>
    </tableColumn>
    <tableColumn id="53" xr3:uid="{47C8E79C-DE28-472C-A5B8-22A2A89C8787}" uniqueName="53" name="Normierter Wert min" queryTableFieldId="53" dataDxfId="105">
      <calculatedColumnFormula>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calculatedColumnFormula>
    </tableColumn>
    <tableColumn id="54" xr3:uid="{CEC961DA-1CDF-4B8A-B67B-F47CB6DD63EA}" uniqueName="54" name="Normierter Wert max" queryTableFieldId="54" dataDxfId="104">
      <calculatedColumnFormula>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calculatedColumnFormula>
    </tableColumn>
  </tableColumns>
  <tableStyleInfo name="TableStyleMedium7"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94256F5-2926-4D88-84FA-546532A74252}" name="Baukon_alle_A1_A3_results" displayName="Baukon_alle_A1_A3_results" ref="A1:BC87" tableType="queryTable" totalsRowShown="0">
  <tableColumns count="55">
    <tableColumn id="1" xr3:uid="{BF0A956A-604D-4744-A1F3-5D08B5B13684}" uniqueName="1" name="Kostengruppe" queryTableFieldId="1" dataDxfId="103"/>
    <tableColumn id="65" xr3:uid="{8A075C4C-0384-4BF2-A4EB-9234CF43389F}" uniqueName="65" name="Name Baukonstruktion" queryTableFieldId="68"/>
    <tableColumn id="30" xr3:uid="{1EFAA750-B559-440A-A7F9-BAB131C1E88F}" uniqueName="30" name="Variante Nummer" queryTableFieldId="78"/>
    <tableColumn id="4" xr3:uid="{B93BB576-635A-4654-9D11-87C58BBEC32E}" uniqueName="4" name="Variante Name" queryTableFieldId="4" dataDxfId="102"/>
    <tableColumn id="66" xr3:uid="{EB0082D1-AE24-4E65-816B-67F135DA759E}" uniqueName="66" name="ID Baukonstruktion" queryTableFieldId="69"/>
    <tableColumn id="6" xr3:uid="{168065BB-A88B-469A-BA58-3C0A6CD4A8C0}" uniqueName="6" name="Schicht" queryTableFieldId="6"/>
    <tableColumn id="7" xr3:uid="{BCFE5D23-28B9-4A8E-83C8-6B1D73F65529}" uniqueName="7" name="Material" queryTableFieldId="7" dataDxfId="101"/>
    <tableColumn id="67" xr3:uid="{65E43093-ADE0-4060-9C40-0D39D68DCF43}" uniqueName="67" name="Material ist Dämmstoff?" queryTableFieldId="70"/>
    <tableColumn id="9" xr3:uid="{7655EAB1-6B9E-43AA-A410-2A84ECCAD668}" uniqueName="9" name="Dicke [mm] Referenz" queryTableFieldId="9" dataDxfId="100"/>
    <tableColumn id="95" xr3:uid="{BC459255-EE13-4BB3-B659-5EAD8FA56DB0}" uniqueName="95" name="Dicke [mm] min" queryTableFieldId="142" dataDxfId="99"/>
    <tableColumn id="96" xr3:uid="{C50CC2F4-1F65-4D28-8706-B465F20870DC}" uniqueName="96" name="Dicke [mm] max" queryTableFieldId="143" dataDxfId="98"/>
    <tableColumn id="14" xr3:uid="{CF6AFB52-BF4B-41D9-8CA1-CA6E5F8B40CD}" uniqueName="14" name="Flächenanteil [%]" queryTableFieldId="14" dataDxfId="97"/>
    <tableColumn id="15" xr3:uid="{5A38F30D-61E7-49EE-8E16-9B34BA65ABB9}" uniqueName="15" name="Länge [m]" queryTableFieldId="15" dataDxfId="96"/>
    <tableColumn id="16" xr3:uid="{8E7C5EC6-CB64-43EB-9375-0913A3DE17F9}" uniqueName="16" name="Volumen [m³/m²] Referenz" queryTableFieldId="16" dataDxfId="95"/>
    <tableColumn id="97" xr3:uid="{55D377EC-3C62-4478-8F4E-622EF054E751}" uniqueName="97" name="Volumen [m³/m²] min" queryTableFieldId="144" dataDxfId="94"/>
    <tableColumn id="98" xr3:uid="{12225282-24CB-4C6F-9BBC-DE6253E6B782}" uniqueName="98" name="Volumen [m³/m²] max" queryTableFieldId="145" dataDxfId="93"/>
    <tableColumn id="21" xr3:uid="{7A71D4BF-605D-40FF-9ADB-4383927E661F}" uniqueName="21" name="Masse [kg/m²] Referenz" queryTableFieldId="21" dataDxfId="92"/>
    <tableColumn id="99" xr3:uid="{29782F33-D8ED-41F1-970D-9104E908EC50}" uniqueName="99" name="Masse [kg/m²] min" queryTableFieldId="146" dataDxfId="91"/>
    <tableColumn id="100" xr3:uid="{7B3C5FDD-FEED-4548-A945-66EF60779EFC}" uniqueName="100" name="Masse [kg/m²] max" queryTableFieldId="147" dataDxfId="90"/>
    <tableColumn id="26" xr3:uid="{15D1A10C-206F-478B-81B2-136AEDB26053}" uniqueName="26" name="Kommentar" queryTableFieldId="26"/>
    <tableColumn id="27" xr3:uid="{441694C1-744A-4A2D-8F52-420D1BC6BD1C}" uniqueName="27" name="LCA Datensatz" queryTableFieldId="27" dataDxfId="89"/>
    <tableColumn id="61" xr3:uid="{6B69F49D-50A5-4052-B83F-658953E96EC0}" uniqueName="61" name="Rohdichte [kg/m³]" queryTableFieldId="61"/>
    <tableColumn id="62" xr3:uid="{4D27CAAD-0D04-4535-93AC-58933BF4F381}" uniqueName="62" name="Flächengewicht [kg/m²]" queryTableFieldId="62"/>
    <tableColumn id="63" xr3:uid="{F60BC663-23B5-4EE7-85E8-F9CD97582BEA}" uniqueName="63" name="Längengewicht [kg/m]" queryTableFieldId="63"/>
    <tableColumn id="78" xr3:uid="{E67912DA-72B0-4138-9259-5DF7DEA549FA}" uniqueName="78" name="lambda_[W/mK]" queryTableFieldId="106" dataDxfId="88"/>
    <tableColumn id="79" xr3:uid="{00356971-E6C8-4DF9-9CDF-C15BA28797F8}" uniqueName="79" name="R [m²K/W] Referenz" queryTableFieldId="107" dataDxfId="87"/>
    <tableColumn id="31" xr3:uid="{01606DF3-6AAC-4786-BC71-C403DE8D3872}" uniqueName="31" name="RMI [kg Primärrohstoffe/m²] Referenz" queryTableFieldId="31" dataDxfId="86"/>
    <tableColumn id="101" xr3:uid="{C11D4D46-F2A1-400D-9D09-9302184B0550}" uniqueName="101" name="RMI [kg Primärrohstoffe/m²] min" queryTableFieldId="148" dataDxfId="85"/>
    <tableColumn id="102" xr3:uid="{3C976964-7B2D-41DE-8EE7-3A387476B0AE}" uniqueName="102" name="RMI [kg Primärrohstoffe/m²] max" queryTableFieldId="149" dataDxfId="84"/>
    <tableColumn id="36" xr3:uid="{5E2759F4-9F57-4923-B709-B3B6C3E6777F}" uniqueName="36" name="TMR [kg Gesamtmaterialaufwand/m²] Referenz" queryTableFieldId="36" dataDxfId="83"/>
    <tableColumn id="103" xr3:uid="{CC29ADDE-A97F-4492-8C91-84F8EF99254A}" uniqueName="103" name="TMR [kg Gesamtmaterialaufwand/m²] min" queryTableFieldId="150" dataDxfId="82"/>
    <tableColumn id="104" xr3:uid="{37F374F3-B475-4048-940E-1AFCC5072470}" uniqueName="104" name="TMR [kg Gesamtmaterialaufwand/m²] max" queryTableFieldId="151" dataDxfId="81"/>
    <tableColumn id="41" xr3:uid="{FF4626D4-B1C1-4B16-A7D0-17E6F757FFAF}" uniqueName="41" name="GWP [kg CO2-Äqu./m²] Referenz" queryTableFieldId="41" dataDxfId="80"/>
    <tableColumn id="105" xr3:uid="{729FF02D-AA25-4009-A7AD-5E909F0A3D50}" uniqueName="105" name="GWP [kg CO2-Äqu./m²] min" queryTableFieldId="152" dataDxfId="79"/>
    <tableColumn id="106" xr3:uid="{29DC9E4A-BEEB-4FC0-9A5A-EF7945BB220A}" uniqueName="106" name="GWP [kg CO2-Äqu./m²] max" queryTableFieldId="153" dataDxfId="78"/>
    <tableColumn id="46" xr3:uid="{4DF3F71A-48DB-40D4-A05E-48CD0217F482}" uniqueName="46" name="PENRT [MJ/m²] Referenz" queryTableFieldId="46" dataDxfId="77"/>
    <tableColumn id="107" xr3:uid="{06DE497B-2ED9-4A2F-BDA4-AC51B3F331A0}" uniqueName="107" name="PENRT [MJ/m²] min" queryTableFieldId="154" dataDxfId="76"/>
    <tableColumn id="108" xr3:uid="{7F73E017-4754-439D-82B1-DDECFC13B96C}" uniqueName="108" name="PENRT [MJ/m²] max" queryTableFieldId="155" dataDxfId="75"/>
    <tableColumn id="51" xr3:uid="{6146F3A8-7E84-48D0-B6AB-1F0F76238A61}" uniqueName="51" name="PERT [MJ/m²] Referenz" queryTableFieldId="51" dataDxfId="74"/>
    <tableColumn id="109" xr3:uid="{8B658891-95FE-4449-920F-2B5D15BA7ABC}" uniqueName="109" name="PERT [MJ/m²] min" queryTableFieldId="156" dataDxfId="73"/>
    <tableColumn id="110" xr3:uid="{38E3D408-3C2D-41AA-A609-DF4F12497DD9}" uniqueName="110" name="PERT [MJ/m²] max" queryTableFieldId="157" dataDxfId="72"/>
    <tableColumn id="73" xr3:uid="{C5AF57B0-FAAC-46E8-ADB6-7458E305CB21}" uniqueName="73" name="WDP [m² weighted water/m²] Referenz" queryTableFieldId="96" dataDxfId="71"/>
    <tableColumn id="111" xr3:uid="{325A295C-F920-4254-B70D-D40F6F96CB3A}" uniqueName="111" name="WDP [m² weighted water/m²] min" queryTableFieldId="158" dataDxfId="70"/>
    <tableColumn id="112" xr3:uid="{04E2791A-671A-4FF6-B2AE-67705BDF38FE}" uniqueName="112" name="WDP [m² weighted water/m²] max" queryTableFieldId="159" dataDxfId="69"/>
    <tableColumn id="2" xr3:uid="{EC57F7CE-B86E-41E9-8D11-1E599D52E1F5}" uniqueName="2" name="Normierter Wert Referenz" queryTableFieldId="73" dataDxfId="68"/>
    <tableColumn id="113" xr3:uid="{8FB74534-1419-424A-8178-A4453B99849A}" uniqueName="113" name="Normierter Wert min" queryTableFieldId="160" dataDxfId="67"/>
    <tableColumn id="114" xr3:uid="{70D04635-21E6-4EBF-A200-D03FB1D6A719}" uniqueName="114" name="Normierter Wert max" queryTableFieldId="161" dataDxfId="66"/>
    <tableColumn id="64" xr3:uid="{547D4ACF-A36C-42D7-9B97-104C80992E4F}" uniqueName="64" name="Prüfung id" queryTableFieldId="64"/>
    <tableColumn id="17" xr3:uid="{AA8FFE1A-9C8A-4BC2-8654-996A1D3891BB}" uniqueName="17" name="ist Dämmstoff?" queryTableFieldId="232"/>
    <tableColumn id="12" xr3:uid="{82FECA85-6B47-4430-B23D-C4E04FD9E142}" uniqueName="12" name="Länge [m/m²]" queryTableFieldId="200"/>
    <tableColumn id="5" xr3:uid="{523A73F3-A997-45E0-9302-CB5C396C7BE6}" uniqueName="5" name="Rohdichte [kg/m³], Eingabe" queryTableFieldId="196"/>
    <tableColumn id="8" xr3:uid="{6F2C6704-9DA9-4DA8-AC83-6ADF4C42D290}" uniqueName="8" name="Flächengewicht [kg/m²], Eingabe" queryTableFieldId="197"/>
    <tableColumn id="10" xr3:uid="{563ED281-B429-4756-A20C-F94D69E78700}" uniqueName="10" name="Längengewicht [kg/m], Eingabe" queryTableFieldId="198"/>
    <tableColumn id="11" xr3:uid="{E1656704-58BF-4731-915D-990643CB12CA}" uniqueName="11" name="lambda_[W/mK], Eingabe" queryTableFieldId="199"/>
    <tableColumn id="13" xr3:uid="{A63051D4-55F3-4A16-BE35-4EBB160EF3D7}" uniqueName="13" name="Modul" queryTableFieldId="202"/>
  </tableColumns>
  <tableStyleInfo name="TableStyleMedium7"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2298C8C7-72DD-4200-AA92-3268211F9EA5}" name="LeitRess_Materialien" displayName="LeitRess_Materialien" ref="A6:M72" totalsRowShown="0" headerRowDxfId="65" dataDxfId="64">
  <sortState xmlns:xlrd2="http://schemas.microsoft.com/office/spreadsheetml/2017/richdata2" ref="A7:K48">
    <sortCondition ref="B9:B48"/>
    <sortCondition ref="C9:C48"/>
  </sortState>
  <tableColumns count="13">
    <tableColumn id="7" xr3:uid="{21F8CD34-47CC-448E-84ED-E5BFB1A00691}" name="Material_UUID" dataDxfId="63"/>
    <tableColumn id="27" xr3:uid="{945A5DF4-F942-45EA-ADF2-E6A5E5E7D98E}" name="Kategorie" dataDxfId="62"/>
    <tableColumn id="3" xr3:uid="{AF32037E-C17E-43DC-BC5C-4FA0A0175F0E}" name="Name" dataDxfId="61"/>
    <tableColumn id="9" xr3:uid="{3D4EE07D-47DF-4506-9C4D-7A0A2D33B341}" name="RMI [kg Primärrohstoffe / kg]" dataDxfId="60"/>
    <tableColumn id="1" xr3:uid="{7774D6DA-0809-45BC-9AF3-6F2537CC9131}" name="TMR [kg Gesamtmaterialaufwand/kg]" dataDxfId="59"/>
    <tableColumn id="21" xr3:uid="{3A235826-B512-4850-BFEB-ECE78B3DDB78}" name="WDP [m³ weighted water/kg]" dataDxfId="58"/>
    <tableColumn id="22" xr3:uid="{36A9530D-2029-4720-BD95-3FC966F90C04}" name="GWP [kg CO2-Äqu./kg]" dataDxfId="57"/>
    <tableColumn id="24" xr3:uid="{E8FE93B6-C8CF-44E5-83E5-4FD33760F758}" name="PENRT [MJ/kg]" dataDxfId="56"/>
    <tableColumn id="5" xr3:uid="{675C92D0-DA3C-4BB8-96D4-2243601A333F}" name="Längengewicht_[kg/m]" dataDxfId="55"/>
    <tableColumn id="6" xr3:uid="{FDCE16CC-6A40-46C6-B0F2-1588EC4C3286}" name="Flächengewicht_[kg/m2]" dataDxfId="54"/>
    <tableColumn id="8" xr3:uid="{7A8F500D-29DC-426C-8303-B15FDE33DC8B}" name="Rohdichte_[kg/m3]" dataDxfId="53"/>
    <tableColumn id="2" xr3:uid="{E3B336A1-EC90-43F5-B669-7D39BC5E6DE5}" name="lambda_[W/mK]" dataDxfId="52"/>
    <tableColumn id="10" xr3:uid="{F4A22B73-236C-44B8-B21D-22B31BE75032}" name="source" dataDxfId="51"/>
  </tableColumns>
  <tableStyleInfo name="TableStyleMedium7"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BC1473D2-4864-4CD3-822D-F193B8D869F3}" name="Baukon" displayName="Baukon" ref="A17:AU92" totalsRowShown="0" headerRowDxfId="50" dataDxfId="49">
  <tableColumns count="47">
    <tableColumn id="1" xr3:uid="{13B0E842-C8F9-4544-91E7-63FFE06243E8}" name="Kostengruppe" dataDxfId="48"/>
    <tableColumn id="61" xr3:uid="{A7532F9D-C3E5-4AC8-9DCA-6B924089B2BC}" name="Name Baukonstruktion" dataDxfId="47"/>
    <tableColumn id="59" xr3:uid="{E3AC8A0A-8566-4938-AB5F-15875DE761C1}" name="Variante Nummer" dataDxfId="46"/>
    <tableColumn id="63" xr3:uid="{A381A12A-CC43-49D9-BC83-1E15FF7D8DE4}" name="Variante Name" dataDxfId="45"/>
    <tableColumn id="4" xr3:uid="{1BC3D6A0-57B4-47DA-8E4E-5A387154CEC7}" name="ID Baukonstruktion" dataDxfId="44">
      <calculatedColumnFormula>Baukon[[#This Row],[Variante Nummer]]&amp;". "&amp;Baukon[[#This Row],[Name Baukonstruktion]]&amp;" | " &amp;Baukon[[#This Row],[Variante Name]]</calculatedColumnFormula>
    </tableColumn>
    <tableColumn id="5" xr3:uid="{B45CF7F1-220C-47DD-A976-2CE9CDC71C89}" name="Schicht" dataDxfId="43"/>
    <tableColumn id="8" xr3:uid="{C4791F85-9032-45E2-9466-3D8DA0421565}" name="Material" dataDxfId="42"/>
    <tableColumn id="26" xr3:uid="{87C60611-953C-429D-BAC6-D2D124D9845D}" name="Material ist Dämmstoff?" dataDxfId="41"/>
    <tableColumn id="6" xr3:uid="{1EED974A-9B32-4A72-9AC2-F30DA30052BF}" name="Dicke [mm] Referenz" dataDxfId="40"/>
    <tableColumn id="21" xr3:uid="{B9819028-E88F-43E4-A803-F49DEE57E8FD}" name="Dicke [mm] min" dataDxfId="39">
      <calculatedColumnFormula array="1">IF(Baukon[[#This Row],[Material ist Dämmstoff?]]=1,Baukon[[#This Row],[Dicke '[mm'] Referenz]]+_xlfn.XLOOKUP(RIGHT(Baukon[[#Headers],[Dicke '[mm'] min]],2),#REF!,#REF!*10),Baukon[[#This Row],[Dicke '[mm'] Referenz]])</calculatedColumnFormula>
    </tableColumn>
    <tableColumn id="27" xr3:uid="{31046916-4AB4-417F-8ACB-FA3EEF4B9606}" name="Dicke [mm] max" dataDxfId="38">
      <calculatedColumnFormula array="1">IF(Baukon[[#This Row],[Material ist Dämmstoff?]]=1,Baukon[[#This Row],[Dicke '[mm'] Referenz]]+_xlfn.XLOOKUP(RIGHT(Baukon[[#Headers],[Dicke '[mm'] max]],2),#REF!,#REF!*10),Baukon[[#This Row],[Dicke '[mm'] Referenz]])</calculatedColumnFormula>
    </tableColumn>
    <tableColumn id="65" xr3:uid="{C480DAAB-87AE-4E91-8823-60CA172BFFD8}" name="Flächenanteil [%]" dataDxfId="37"/>
    <tableColumn id="19" xr3:uid="{5437D8E6-C6C7-4950-A4A0-12B2DA0A321F}" name="Länge [m]" dataDxfId="36"/>
    <tableColumn id="14" xr3:uid="{908B1DA3-6EB5-44B0-9A44-208478E0FF74}" name="Volumen [m³/m²] Referenz" dataDxfId="35">
      <calculatedColumnFormula>IFERROR(Baukon[[#This Row],[Dicke '[mm'] Referenz]]/1000*Baukon[[#This Row],[Flächenanteil '[%']]],"")</calculatedColumnFormula>
    </tableColumn>
    <tableColumn id="22" xr3:uid="{6BA98464-CC57-48C3-85C9-8BF76D275D47}" name="Volumen [m³/m²] min" dataDxfId="34">
      <calculatedColumnFormula>IFERROR(Baukon[[#This Row],[Dicke '[mm'] min]]/1000*Baukon[[#This Row],[Flächenanteil '[%']]],"")</calculatedColumnFormula>
    </tableColumn>
    <tableColumn id="29" xr3:uid="{BE2841BB-A490-4CB8-B95A-99C669E7127B}" name="Volumen [m³/m²] max" dataDxfId="33">
      <calculatedColumnFormula>IFERROR(Baukon[[#This Row],[Dicke '[mm'] max]]/1000*Baukon[[#This Row],[Flächenanteil '[%']]],"")</calculatedColumnFormula>
    </tableColumn>
    <tableColumn id="15" xr3:uid="{2BBA7D89-00B8-486F-A6CF-D905AAB55199}" name="Masse [kg/m²] Referenz" dataDxfId="32">
      <calculatedColumnFormula>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calculatedColumnFormula>
    </tableColumn>
    <tableColumn id="24" xr3:uid="{1C5E58CE-7CDD-4FFA-BA26-3CDE47E2601E}" name="Masse [kg/m²] min" dataDxfId="31">
      <calculatedColumnFormula>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calculatedColumnFormula>
    </tableColumn>
    <tableColumn id="31" xr3:uid="{331392F1-22CA-438A-BE43-7C6CE8BF8084}" name="Masse [kg/m²] max" dataDxfId="30">
      <calculatedColumnFormula>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calculatedColumnFormula>
    </tableColumn>
    <tableColumn id="7" xr3:uid="{3B82065B-E60C-499C-8814-4CD55488AA56}" name="Kommentar" dataDxfId="29"/>
    <tableColumn id="9" xr3:uid="{82917121-2F53-4C7E-853E-9D43B8CE998A}" name="LCA Datensatz" dataDxfId="28">
      <calculatedColumnFormula>_xlfn.XLOOKUP(Baukon[[#This Row],[Material]],LeitRess_Materialien[Name],#REF!)</calculatedColumnFormula>
    </tableColumn>
    <tableColumn id="10" xr3:uid="{5D03E213-B954-4F76-8B64-826596CEB5C9}" name="Rohdichte [kg/m³]" dataDxfId="27">
      <calculatedColumnFormula>_xlfn.XLOOKUP(Baukon[[#This Row],[LCA Datensatz]],LeitRess_Materialien[Material_UUID],LeitRess_Materialien[Rohdichte_'[kg/m3']])</calculatedColumnFormula>
    </tableColumn>
    <tableColumn id="11" xr3:uid="{6EA0C811-E540-4811-A639-DF8318F193A6}" name="Flächengewicht [kg/m²]" dataDxfId="26">
      <calculatedColumnFormula>_xlfn.XLOOKUP(Baukon[[#This Row],[LCA Datensatz]],LeitRess_Materialien[Material_UUID],LeitRess_Materialien[Flächengewicht_'[kg/m2']])</calculatedColumnFormula>
    </tableColumn>
    <tableColumn id="12" xr3:uid="{D92CF98A-9195-4574-90F5-2B4EAD37405C}" name="Längengewicht [kg/m]" dataDxfId="25">
      <calculatedColumnFormula>_xlfn.XLOOKUP(Baukon[[#This Row],[LCA Datensatz]],LeitRess_Materialien[Material_UUID],LeitRess_Materialien[Längengewicht_'[kg/m']])</calculatedColumnFormula>
    </tableColumn>
    <tableColumn id="72" xr3:uid="{41ABDEB8-5A61-4186-9737-F0653D638563}" name="lambda_[W/mK]" dataDxfId="24">
      <calculatedColumnFormula>_xlfn.XLOOKUP(Baukon[[#This Row],[LCA Datensatz]],LeitRess_Materialien[Material_UUID],LeitRess_Materialien[lambda_'[W/mK']])</calculatedColumnFormula>
    </tableColumn>
    <tableColumn id="73" xr3:uid="{F2D3EAAF-EDFA-49D3-AA9E-78DDF448F42B}" name="R [m²K/W] Referenz" dataDxfId="23">
      <calculatedColumnFormula>IFERROR(Baukon[[#This Row],[Dicke '[mm'] Referenz]]/Baukon[[#This Row],[lambda_'[W/mK']]],"")</calculatedColumnFormula>
    </tableColumn>
    <tableColumn id="33" xr3:uid="{EFEE2893-2D06-4C48-BF2E-F9BCA0896136}" name="RMI [kg Primärrohstoffe/m²] Referenz" dataDxfId="22">
      <calculatedColumnFormula>_xlfn.XLOOKUP(Baukon[[#This Row],[LCA Datensatz]],LeitRess_Materialien[Material_UUID],LeitRess_Materialien[RMI '[kg Primärrohstoffe / kg']])*Baukon[[#This Row],[Masse '[kg/m²'] Referenz]]</calculatedColumnFormula>
    </tableColumn>
    <tableColumn id="43" xr3:uid="{49244D5F-74AB-44C1-B806-030651B92A3B}" name="RMI [kg Primärrohstoffe/m²] min" dataDxfId="21">
      <calculatedColumnFormula>_xlfn.XLOOKUP(Baukon[[#This Row],[LCA Datensatz]],LeitRess_Materialien[Material_UUID],LeitRess_Materialien[RMI '[kg Primärrohstoffe / kg']])*Baukon[[#This Row],[Masse '[kg/m²'] min]]</calculatedColumnFormula>
    </tableColumn>
    <tableColumn id="53" xr3:uid="{B934FCAE-8EC0-40F6-ABA0-D1D5B31A955E}" name="RMI [kg Primärrohstoffe/m²] max" dataDxfId="20">
      <calculatedColumnFormula>_xlfn.XLOOKUP(Baukon[[#This Row],[LCA Datensatz]],LeitRess_Materialien[Material_UUID],LeitRess_Materialien[RMI '[kg Primärrohstoffe / kg']])*Baukon[[#This Row],[Masse '[kg/m²'] max]]</calculatedColumnFormula>
    </tableColumn>
    <tableColumn id="34" xr3:uid="{7DB0B117-5E71-46E7-9280-E8972E208737}" name="TMR [kg Gesamtmaterialaufwand/m²] Referenz" dataDxfId="19">
      <calculatedColumnFormula>_xlfn.XLOOKUP(Baukon[[#This Row],[LCA Datensatz]],LeitRess_Materialien[Material_UUID],LeitRess_Materialien[TMR '[kg Gesamtmaterialaufwand/kg']])*Baukon[[#This Row],[Masse '[kg/m²'] Referenz]]</calculatedColumnFormula>
    </tableColumn>
    <tableColumn id="44" xr3:uid="{BA643BA8-FE98-4E46-AFC0-3CF29A06E09D}" name="TMR [kg Gesamtmaterialaufwand/m²] min" dataDxfId="18">
      <calculatedColumnFormula>_xlfn.XLOOKUP(Baukon[[#This Row],[LCA Datensatz]],LeitRess_Materialien[Material_UUID],LeitRess_Materialien[TMR '[kg Gesamtmaterialaufwand/kg']])*Baukon[[#This Row],[Masse '[kg/m²'] min]]</calculatedColumnFormula>
    </tableColumn>
    <tableColumn id="54" xr3:uid="{26C49584-89CF-4C5B-A6D8-CD05D88969A5}" name="TMR [kg Gesamtmaterialaufwand/m²] max" dataDxfId="17">
      <calculatedColumnFormula>_xlfn.XLOOKUP(Baukon[[#This Row],[LCA Datensatz]],LeitRess_Materialien[Material_UUID],LeitRess_Materialien[TMR '[kg Gesamtmaterialaufwand/kg']])*Baukon[[#This Row],[Masse '[kg/m²'] max]]</calculatedColumnFormula>
    </tableColumn>
    <tableColumn id="35" xr3:uid="{1EA97474-C00F-412E-9E02-AA21E32E2B25}" name="GWP [kg CO2-Äqu./m²] Referenz" dataDxfId="16">
      <calculatedColumnFormula>_xlfn.XLOOKUP(Baukon[[#This Row],[LCA Datensatz]],LeitRess_Materialien[Material_UUID],LeitRess_Materialien[GWP '[kg CO2-Äqu./kg']])*Baukon[[#This Row],[Masse '[kg/m²'] Referenz]]</calculatedColumnFormula>
    </tableColumn>
    <tableColumn id="45" xr3:uid="{31517FFC-0DEE-4E7A-AD64-764CCA5D6D75}" name="GWP [kg CO2-Äqu./m²] min" dataDxfId="15">
      <calculatedColumnFormula>_xlfn.XLOOKUP(Baukon[[#This Row],[LCA Datensatz]],LeitRess_Materialien[Material_UUID],LeitRess_Materialien[GWP '[kg CO2-Äqu./kg']])*Baukon[[#This Row],[Masse '[kg/m²'] min]]</calculatedColumnFormula>
    </tableColumn>
    <tableColumn id="55" xr3:uid="{079D5E89-E7F1-46E5-B22A-B542BA3A9C61}" name="GWP [kg CO2-Äqu./m²] max" dataDxfId="14">
      <calculatedColumnFormula>_xlfn.XLOOKUP(Baukon[[#This Row],[LCA Datensatz]],LeitRess_Materialien[Material_UUID],LeitRess_Materialien[GWP '[kg CO2-Äqu./kg']])*Baukon[[#This Row],[Masse '[kg/m²'] max]]</calculatedColumnFormula>
    </tableColumn>
    <tableColumn id="36" xr3:uid="{34423855-F0A1-4005-B853-3E77756CB5D0}" name="PENRT [MJ/m²] Referenz" dataDxfId="13">
      <calculatedColumnFormula>_xlfn.XLOOKUP(Baukon[[#This Row],[LCA Datensatz]],LeitRess_Materialien[Material_UUID],LeitRess_Materialien[PENRT '[MJ/kg']])*Baukon[[#This Row],[Masse '[kg/m²'] Referenz]]</calculatedColumnFormula>
    </tableColumn>
    <tableColumn id="46" xr3:uid="{DE8434F4-95D7-481C-9E0C-0B1C32A034D4}" name="PENRT [MJ/m²] min" dataDxfId="12">
      <calculatedColumnFormula>_xlfn.XLOOKUP(Baukon[[#This Row],[LCA Datensatz]],LeitRess_Materialien[Material_UUID],LeitRess_Materialien[PENRT '[MJ/kg']])*Baukon[[#This Row],[Masse '[kg/m²'] min]]</calculatedColumnFormula>
    </tableColumn>
    <tableColumn id="56" xr3:uid="{C8262FCD-48EF-4940-9778-326A911AA5BB}" name="PENRT [MJ/m²] max" dataDxfId="11">
      <calculatedColumnFormula>_xlfn.XLOOKUP(Baukon[[#This Row],[LCA Datensatz]],LeitRess_Materialien[Material_UUID],LeitRess_Materialien[PENRT '[MJ/kg']])*Baukon[[#This Row],[Masse '[kg/m²'] max]]</calculatedColumnFormula>
    </tableColumn>
    <tableColumn id="37" xr3:uid="{41888243-B4FF-4DC2-9588-43ABA2DF694F}" name="PERT [MJ/m²] Referenz" dataDxfId="10">
      <calculatedColumnFormula>_xlfn.XLOOKUP(Baukon[[#This Row],[LCA Datensatz]],LeitRess_Materialien[Material_UUID],#REF!)*Baukon[[#This Row],[Masse '[kg/m²'] Referenz]]</calculatedColumnFormula>
    </tableColumn>
    <tableColumn id="47" xr3:uid="{7B43C4C8-A53D-4AAB-AACA-EADFDD840226}" name="PERT [MJ/m²] min" dataDxfId="9">
      <calculatedColumnFormula>_xlfn.XLOOKUP(Baukon[[#This Row],[LCA Datensatz]],LeitRess_Materialien[Material_UUID],#REF!)*Baukon[[#This Row],[Masse '[kg/m²'] min]]</calculatedColumnFormula>
    </tableColumn>
    <tableColumn id="57" xr3:uid="{DA90EF97-F787-49D1-BE79-6317131E244D}" name="PERT [MJ/m²] max" dataDxfId="8">
      <calculatedColumnFormula>_xlfn.XLOOKUP(Baukon[[#This Row],[LCA Datensatz]],LeitRess_Materialien[Material_UUID],#REF!)*Baukon[[#This Row],[Masse '[kg/m²'] max]]</calculatedColumnFormula>
    </tableColumn>
    <tableColumn id="13" xr3:uid="{FFB7C2B6-818F-4F5D-A165-8806CAC20B60}" name="WDP [m² weighted water/m²] Referenz" dataDxfId="7">
      <calculatedColumnFormula>_xlfn.XLOOKUP(Baukon[[#This Row],[LCA Datensatz]],LeitRess_Materialien[Material_UUID],LeitRess_Materialien[WDP '[m³ weighted water/kg']])*Baukon[[#This Row],[Masse '[kg/m²'] Referenz]]</calculatedColumnFormula>
    </tableColumn>
    <tableColumn id="17" xr3:uid="{180728BF-DE22-47C5-980E-0291C66249AB}" name="WDP [m² weighted water/m²] min" dataDxfId="6">
      <calculatedColumnFormula>_xlfn.XLOOKUP(Baukon[[#This Row],[LCA Datensatz]],LeitRess_Materialien[Material_UUID],LeitRess_Materialien[WDP '[m³ weighted water/kg']])*Baukon[[#This Row],[Masse '[kg/m²'] min]]</calculatedColumnFormula>
    </tableColumn>
    <tableColumn id="62" xr3:uid="{74C91C21-E72D-4949-A31E-58757C9C33D1}" name="WDP [m² weighted water/m²] max" dataDxfId="5">
      <calculatedColumnFormula>_xlfn.XLOOKUP(Baukon[[#This Row],[LCA Datensatz]],LeitRess_Materialien[Material_UUID],LeitRess_Materialien[WDP '[m³ weighted water/kg']])*Baukon[[#This Row],[Masse '[kg/m²'] max]]</calculatedColumnFormula>
    </tableColumn>
    <tableColumn id="2" xr3:uid="{39EB57B0-B388-4C9D-BFD5-EBA5E38CE305}" name="Normierter Wert Referenz" dataDxfId="4">
      <calculatedColumnFormula>Baukon[[#This Row],[GWP '[kg CO2-Äqu./m²'] Referenz]]/'Ausgabe Tabellen'!$C$21+Baukon[[#This Row],[PENRT '[MJ/m²'] Referenz]]/'Ausgabe Tabellen'!$C$22+Baukon[[#This Row],[RMI '[kg Primärrohstoffe/m²'] Referenz]]/'Ausgabe Tabellen'!$C$23+Baukon[[#This Row],[WDP '[m² weighted water/m²'] Referenz]]/'Ausgabe Tabellen'!$C$24</calculatedColumnFormula>
    </tableColumn>
    <tableColumn id="18" xr3:uid="{A97FA44C-A7B3-4129-AA19-58168C8DA64F}" name="Normierter Wert min" dataDxfId="3">
      <calculatedColumnFormula>Baukon[[#This Row],[GWP '[kg CO2-Äqu./m²'] min]]/'Ausgabe Tabellen'!$C$21+Baukon[[#This Row],[PENRT '[MJ/m²'] min]]/'Ausgabe Tabellen'!$C$22+Baukon[[#This Row],[RMI '[kg Primärrohstoffe/m²'] min]]/'Ausgabe Tabellen'!$C$23+Baukon[[#This Row],[WDP '[m² weighted water/m²'] min]]/'Ausgabe Tabellen'!$C$24</calculatedColumnFormula>
    </tableColumn>
    <tableColumn id="64" xr3:uid="{3D1392C3-03C5-46A5-A0F0-460A27D0F883}" name="Normierter Wert max" dataDxfId="2">
      <calculatedColumnFormula>Baukon[[#This Row],[GWP '[kg CO2-Äqu./m²'] max]]/'Ausgabe Tabellen'!$C$21+Baukon[[#This Row],[PENRT '[MJ/m²'] max]]/'Ausgabe Tabellen'!$C$22+Baukon[[#This Row],[RMI '[kg Primärrohstoffe/m²'] max]]/'Ausgabe Tabellen'!$C$23+Baukon[[#This Row],[WDP '[m² weighted water/m²'] max]]/'Ausgabe Tabellen'!$C$24</calculatedColumnFormula>
    </tableColumn>
  </tableColumns>
  <tableStyleInfo name="TableStyleLight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80A1CD80-6F3E-4435-AC37-48FD1A1BCF80}" name="Baukon_alle" displayName="Baukon_alle" ref="A1:BE173" tableType="queryTable" totalsRowShown="0">
  <autoFilter ref="A1:BE173" xr:uid="{80A1CD80-6F3E-4435-AC37-48FD1A1BCF80}"/>
  <tableColumns count="57">
    <tableColumn id="1" xr3:uid="{906D7388-9626-4C77-98F1-DC1B3AEC3348}" uniqueName="1" name="Kostengruppe" queryTableFieldId="1"/>
    <tableColumn id="2" xr3:uid="{21A369EA-D437-4449-91EB-2C5C12ADD821}" uniqueName="2" name="Name Baukonstruktion" queryTableFieldId="2"/>
    <tableColumn id="3" xr3:uid="{2E7EE766-9F6A-416A-B417-E514169E9563}" uniqueName="3" name="Variante Nummer" queryTableFieldId="3"/>
    <tableColumn id="4" xr3:uid="{D729A6E1-7217-4FEB-B375-D10C97F0D51A}" uniqueName="4" name="Variante Name" queryTableFieldId="4"/>
    <tableColumn id="5" xr3:uid="{0B2F5817-EE2C-43D0-8262-91ECE3CF1A6F}" uniqueName="5" name="ID Baukonstruktion" queryTableFieldId="5"/>
    <tableColumn id="6" xr3:uid="{75EB4825-7202-475F-A0DA-CE17E4E8FD48}" uniqueName="6" name="Schicht" queryTableFieldId="6"/>
    <tableColumn id="7" xr3:uid="{400628E2-EE7B-4E70-A925-F616B0C0797E}" uniqueName="7" name="Material" queryTableFieldId="7"/>
    <tableColumn id="8" xr3:uid="{2DD18331-2741-414E-BCD6-B98B0A7CABB5}" uniqueName="8" name="Material ist Dämmstoff?" queryTableFieldId="8"/>
    <tableColumn id="9" xr3:uid="{C47EBE4C-0E5D-4DBD-A912-09A777148AB4}" uniqueName="9" name="Dicke [mm] Referenz" queryTableFieldId="9"/>
    <tableColumn id="10" xr3:uid="{BCCD068C-1914-4D2B-A8A6-11D269A8858D}" uniqueName="10" name="Dicke [mm] min" queryTableFieldId="10"/>
    <tableColumn id="11" xr3:uid="{C10DD8EB-1EA0-4891-99DA-B44DC884AD21}" uniqueName="11" name="Dicke [mm] max" queryTableFieldId="11"/>
    <tableColumn id="12" xr3:uid="{FD7CCA6E-39F7-4D2A-AC27-81B04270FD5C}" uniqueName="12" name="Flächenanteil [%]" queryTableFieldId="12"/>
    <tableColumn id="13" xr3:uid="{C234CEBA-F30A-402E-9D4F-380CE4B778C8}" uniqueName="13" name="Länge [m]" queryTableFieldId="13"/>
    <tableColumn id="14" xr3:uid="{C1BF1AB5-CE16-480E-9245-56C3D92051FC}" uniqueName="14" name="Volumen [m³/m²] Referenz" queryTableFieldId="14"/>
    <tableColumn id="15" xr3:uid="{884E4799-083F-4B65-9E49-9E7955EAF2F4}" uniqueName="15" name="Volumen [m³/m²] min" queryTableFieldId="15"/>
    <tableColumn id="16" xr3:uid="{9BA29FF3-42AC-4D91-AF60-D1613944F056}" uniqueName="16" name="Volumen [m³/m²] max" queryTableFieldId="16"/>
    <tableColumn id="17" xr3:uid="{8B85DD03-AB17-4108-9F58-945761CFD6E7}" uniqueName="17" name="Masse [kg/m²] Referenz" queryTableFieldId="17"/>
    <tableColumn id="18" xr3:uid="{2FE7A517-5FBA-4AE8-AD1F-04B80CA02BEA}" uniqueName="18" name="Masse [kg/m²] min" queryTableFieldId="18"/>
    <tableColumn id="19" xr3:uid="{FF38984D-244F-4E6B-B739-FCF302287984}" uniqueName="19" name="Masse [kg/m²] max" queryTableFieldId="19"/>
    <tableColumn id="20" xr3:uid="{4C487121-AB10-49FE-898D-F1072B3240AD}" uniqueName="20" name="Kommentar" queryTableFieldId="20"/>
    <tableColumn id="21" xr3:uid="{9F685BD7-766F-44EE-84E0-E1746C45B739}" uniqueName="21" name="LCA Datensatz" queryTableFieldId="21"/>
    <tableColumn id="22" xr3:uid="{A72882B9-88A9-452E-84FA-8621DF498EA0}" uniqueName="22" name="Rohdichte [kg/m³]" queryTableFieldId="22"/>
    <tableColumn id="23" xr3:uid="{2544CC6C-A3B9-4EFA-A32E-8D1CB5CF85BA}" uniqueName="23" name="Flächengewicht [kg/m²]" queryTableFieldId="23"/>
    <tableColumn id="24" xr3:uid="{EAEC58C9-6DA3-437F-9399-54BCB9AC56CE}" uniqueName="24" name="Längengewicht [kg/m]" queryTableFieldId="24"/>
    <tableColumn id="25" xr3:uid="{D709A762-69F0-48F8-BC0D-2E4F2D9EEE62}" uniqueName="25" name="lambda_[W/mK]" queryTableFieldId="25"/>
    <tableColumn id="26" xr3:uid="{6718E5A1-46BC-4BFB-B847-11995540C133}" uniqueName="26" name="R [m²K/W] Referenz" queryTableFieldId="26"/>
    <tableColumn id="27" xr3:uid="{1A71470D-5807-4649-8899-22E41B90588D}" uniqueName="27" name="RMI [kg Primärrohstoffe/m²] Referenz" queryTableFieldId="27"/>
    <tableColumn id="28" xr3:uid="{5862A527-056C-4BD7-9A89-D472C14624FE}" uniqueName="28" name="RMI [kg Primärrohstoffe/m²] min" queryTableFieldId="28"/>
    <tableColumn id="29" xr3:uid="{F196F89C-C462-43EE-9F8D-4E9955698C22}" uniqueName="29" name="RMI [kg Primärrohstoffe/m²] max" queryTableFieldId="29"/>
    <tableColumn id="30" xr3:uid="{C1DF8A92-BAB3-42C0-B2CC-D7956D2A21FA}" uniqueName="30" name="TMR [kg Gesamtmaterialaufwand/m²] Referenz" queryTableFieldId="30"/>
    <tableColumn id="31" xr3:uid="{30643602-24AE-4C60-BCAF-1477F6D7CF3F}" uniqueName="31" name="TMR [kg Gesamtmaterialaufwand/m²] min" queryTableFieldId="31"/>
    <tableColumn id="32" xr3:uid="{7EEDFBE1-817C-4542-8938-26E4347D486A}" uniqueName="32" name="TMR [kg Gesamtmaterialaufwand/m²] max" queryTableFieldId="32"/>
    <tableColumn id="33" xr3:uid="{AA596954-952D-4A30-B9A5-9947DC2A85D6}" uniqueName="33" name="GWP [kg CO2-Äqu./m²] Referenz" queryTableFieldId="33"/>
    <tableColumn id="34" xr3:uid="{7475AF8C-8D7D-48B9-8C72-AA2F72035D9F}" uniqueName="34" name="GWP [kg CO2-Äqu./m²] min" queryTableFieldId="34"/>
    <tableColumn id="35" xr3:uid="{BB8AC13E-DD53-418C-9A51-2D640A7AC115}" uniqueName="35" name="GWP [kg CO2-Äqu./m²] max" queryTableFieldId="35"/>
    <tableColumn id="36" xr3:uid="{3C6720EE-7684-4169-96E1-1EC51EBCA383}" uniqueName="36" name="PENRT [MJ/m²] Referenz" queryTableFieldId="36"/>
    <tableColumn id="37" xr3:uid="{527738F5-53B7-4089-9DDE-3C549E79BBEB}" uniqueName="37" name="PENRT [MJ/m²] min" queryTableFieldId="37"/>
    <tableColumn id="38" xr3:uid="{6AA3AFD3-786C-4DDD-9D43-A119BE7C3693}" uniqueName="38" name="PENRT [MJ/m²] max" queryTableFieldId="38"/>
    <tableColumn id="39" xr3:uid="{08E4AA61-A230-439E-9660-02A4E5C00C34}" uniqueName="39" name="PERT [MJ/m²] Referenz" queryTableFieldId="39"/>
    <tableColumn id="40" xr3:uid="{815512C1-EE19-4457-A6F9-9D7F85BAEDB7}" uniqueName="40" name="PERT [MJ/m²] min" queryTableFieldId="40"/>
    <tableColumn id="41" xr3:uid="{99F897D6-3461-4637-BBC3-1CF29E54D5A9}" uniqueName="41" name="PERT [MJ/m²] max" queryTableFieldId="41"/>
    <tableColumn id="42" xr3:uid="{D14AD3EA-D0C7-419C-97C9-91844DE8BBB3}" uniqueName="42" name="WDP [m² weighted water/m²] Referenz" queryTableFieldId="42"/>
    <tableColumn id="43" xr3:uid="{373DBB53-5E82-415D-A19D-84066DA89E2E}" uniqueName="43" name="WDP [m² weighted water/m²] min" queryTableFieldId="43"/>
    <tableColumn id="44" xr3:uid="{21CF4FF9-AB1F-4CE2-8879-1A1D103BD3B7}" uniqueName="44" name="WDP [m² weighted water/m²] max" queryTableFieldId="44"/>
    <tableColumn id="45" xr3:uid="{FD2B3BA2-E7F0-4301-992D-35096FAE9093}" uniqueName="45" name="Normierter Wert Referenz" queryTableFieldId="45"/>
    <tableColumn id="46" xr3:uid="{93AAB0BD-4ACF-40A8-AAE3-EF201A48214B}" uniqueName="46" name="Normierter Wert min" queryTableFieldId="46"/>
    <tableColumn id="47" xr3:uid="{A00A7736-7D2E-4D94-B8B4-FC4A21F46403}" uniqueName="47" name="Normierter Wert max" queryTableFieldId="47"/>
    <tableColumn id="48" xr3:uid="{683362D0-A76E-4518-8428-BB0F4030F1FB}" uniqueName="48" name="Prüfung id" queryTableFieldId="48"/>
    <tableColumn id="56" xr3:uid="{E2CCC6BD-0DFC-4AF9-9E46-D044BF8538E8}" uniqueName="56" name="ist Dämmstoff?" queryTableFieldId="89"/>
    <tableColumn id="49" xr3:uid="{882F9601-6294-4F9C-B6E1-BC8B150B9CF8}" uniqueName="49" name="Länge [m/m²]" queryTableFieldId="49"/>
    <tableColumn id="50" xr3:uid="{9FFF49B2-0EE6-47FB-9D7F-100653ED0C24}" uniqueName="50" name="Rohdichte [kg/m³], Eingabe " queryTableFieldId="50"/>
    <tableColumn id="51" xr3:uid="{0C7D2A66-EFBB-4BC1-8221-D432FA0F7D3B}" uniqueName="51" name="Flächengewicht [kg/m²], Eingabe " queryTableFieldId="51"/>
    <tableColumn id="52" xr3:uid="{01D24143-2718-4D7F-A424-C5C25D7B99E7}" uniqueName="52" name="Längengewicht [kg/m], Eingabe " queryTableFieldId="52"/>
    <tableColumn id="53" xr3:uid="{BDCF6068-D11E-4F5A-A9DD-AC658C28D688}" uniqueName="53" name="lambda_[W/mK], Eingabe " queryTableFieldId="53"/>
    <tableColumn id="54" xr3:uid="{E25A9863-81CE-4645-B391-661DE2856F4E}" uniqueName="54" name="Modul" queryTableFieldId="54"/>
    <tableColumn id="57" xr3:uid="{42FC7E2B-18ED-4CCC-A791-0D6F7A0A4E6E}" uniqueName="57" name="Transportdistanz.Voreinstellung" queryTableFieldId="86"/>
    <tableColumn id="58" xr3:uid="{CC93FECB-1998-4D49-A24E-6728819A2494}" uniqueName="58" name="Transport.Transport-Modus" queryTableFieldId="87" dataDxfId="1"/>
  </tableColumns>
  <tableStyleInfo name="TableStyleMedium7"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9F50207E-4905-4DF2-9A53-4A1B7893EB74}" name="KG" displayName="KG" ref="A1:A8" totalsRowShown="0" tableBorderDxfId="0">
  <autoFilter ref="A1:A8" xr:uid="{9F50207E-4905-4DF2-9A53-4A1B7893EB74}"/>
  <tableColumns count="1">
    <tableColumn id="1" xr3:uid="{4FE8A019-34B8-490D-A590-98FE6FB5659C}" name="Kostengruppen"/>
  </tableColumns>
  <tableStyleInfo name="TableStyleLight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EA3FAD9-9F9E-4DCA-870C-C4721E963937}" name="Binär" displayName="Binär" ref="C1:C4" totalsRowShown="0">
  <autoFilter ref="C1:C4" xr:uid="{0EA3FAD9-9F9E-4DCA-870C-C4721E963937}"/>
  <tableColumns count="1">
    <tableColumn id="1" xr3:uid="{E39AD6DB-0168-48D0-862D-0D9D8A8FFC9F}" name="Binäres Auswahlfeld"/>
  </tableColumns>
  <tableStyleInfo name="TableStyleLight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8D30BEC6-A443-4584-B2E5-5FBC87E652F3}" name="Transport_Liste" displayName="Transport_Liste" ref="E1:E4" totalsRowShown="0">
  <autoFilter ref="E1:E4" xr:uid="{8D30BEC6-A443-4584-B2E5-5FBC87E652F3}"/>
  <tableColumns count="1">
    <tableColumn id="1" xr3:uid="{CC46B817-86C1-409F-AFB3-E2E347E06BD5}" name="Transport"/>
  </tableColumns>
  <tableStyleInfo name="TableStyleLight1" showFirstColumn="0" showLastColumn="0" showRowStripes="1" showColumnStripes="0"/>
</table>
</file>

<file path=xl/theme/theme1.xml><?xml version="1.0" encoding="utf-8"?>
<a:theme xmlns:a="http://schemas.openxmlformats.org/drawingml/2006/main" name="Office">
  <a:themeElements>
    <a:clrScheme name="Benutzerdefiniert 1">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Benutzerdefiniert 1">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8" Type="http://schemas.openxmlformats.org/officeDocument/2006/relationships/hyperlink" Target="https://www.umweltbundesamt.de/sites/default/files/medien/3521/publikationen/deuress18_de_bericht_web_f.pdf" TargetMode="External"/><Relationship Id="rId3" Type="http://schemas.openxmlformats.org/officeDocument/2006/relationships/pivotTable" Target="../pivotTables/pivotTable3.xml"/><Relationship Id="rId7" Type="http://schemas.openxmlformats.org/officeDocument/2006/relationships/hyperlink" Target="https://www.umweltbundesamt.de/sites/default/files/medien/3521/publikationen/deuress18_de_bericht_web_f.pdf" TargetMode="External"/><Relationship Id="rId12" Type="http://schemas.openxmlformats.org/officeDocument/2006/relationships/table" Target="../tables/table3.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11" Type="http://schemas.openxmlformats.org/officeDocument/2006/relationships/table" Target="../tables/table2.xml"/><Relationship Id="rId5" Type="http://schemas.openxmlformats.org/officeDocument/2006/relationships/pivotTable" Target="../pivotTables/pivotTable5.xml"/><Relationship Id="rId10" Type="http://schemas.openxmlformats.org/officeDocument/2006/relationships/printerSettings" Target="../printerSettings/printerSettings2.bin"/><Relationship Id="rId4" Type="http://schemas.openxmlformats.org/officeDocument/2006/relationships/pivotTable" Target="../pivotTables/pivotTable4.xml"/><Relationship Id="rId9" Type="http://schemas.openxmlformats.org/officeDocument/2006/relationships/hyperlink" Target="https://kobra.uni-kassel.de/handle/123456789/11497" TargetMode="External"/></Relationships>
</file>

<file path=xl/worksheets/_rels/sheet3.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table" Target="../tables/table6.xml"/></Relationships>
</file>

<file path=xl/worksheets/_rels/sheet6.xml.rels><?xml version="1.0" encoding="UTF-8" standalone="yes"?>
<Relationships xmlns="http://schemas.openxmlformats.org/package/2006/relationships"><Relationship Id="rId1" Type="http://schemas.openxmlformats.org/officeDocument/2006/relationships/table" Target="../tables/table7.xml"/></Relationships>
</file>

<file path=xl/worksheets/_rels/sheet7.xml.rels><?xml version="1.0" encoding="UTF-8" standalone="yes"?>
<Relationships xmlns="http://schemas.openxmlformats.org/package/2006/relationships"><Relationship Id="rId1" Type="http://schemas.openxmlformats.org/officeDocument/2006/relationships/table" Target="../tables/table8.xml"/></Relationships>
</file>

<file path=xl/worksheets/_rels/sheet8.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2" Type="http://schemas.openxmlformats.org/officeDocument/2006/relationships/table" Target="../tables/table10.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table" Target="../tables/table11.xml"/></Relationships>
</file>

<file path=xl/worksheets/_rels/sheet11.xml.rels><?xml version="1.0" encoding="UTF-8" standalone="yes"?>
<Relationships xmlns="http://schemas.openxmlformats.org/package/2006/relationships"><Relationship Id="rId3" Type="http://schemas.openxmlformats.org/officeDocument/2006/relationships/table" Target="../tables/table14.xml"/><Relationship Id="rId2" Type="http://schemas.openxmlformats.org/officeDocument/2006/relationships/table" Target="../tables/table13.xml"/><Relationship Id="rId1" Type="http://schemas.openxmlformats.org/officeDocument/2006/relationships/table" Target="../tables/table1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3A25DC-1098-43B5-8564-428D23D7378F}">
  <sheetPr codeName="Tabelle2">
    <tabColor theme="9" tint="-0.249977111117893"/>
  </sheetPr>
  <dimension ref="A2:Z22"/>
  <sheetViews>
    <sheetView showGridLines="0" tabSelected="1" showRuler="0" showWhiteSpace="0" view="pageLayout" zoomScale="70" zoomScaleNormal="55" zoomScaleSheetLayoutView="40" zoomScalePageLayoutView="70" workbookViewId="0">
      <selection activeCell="AB7" sqref="AB7"/>
    </sheetView>
  </sheetViews>
  <sheetFormatPr baseColWidth="10" defaultColWidth="11.46484375" defaultRowHeight="14.25" x14ac:dyDescent="0.45"/>
  <cols>
    <col min="1" max="2" width="11.53125" customWidth="1"/>
    <col min="3" max="3" width="11.46484375" customWidth="1"/>
    <col min="4" max="10" width="11.53125" customWidth="1"/>
    <col min="21" max="22" width="11.53125" customWidth="1"/>
    <col min="23" max="24" width="12.46484375" customWidth="1"/>
    <col min="25" max="25" width="18.1328125" customWidth="1"/>
    <col min="26" max="26" width="23.53125" customWidth="1"/>
  </cols>
  <sheetData>
    <row r="2" spans="1:26" x14ac:dyDescent="0.45">
      <c r="A2" s="99" t="s">
        <v>0</v>
      </c>
      <c r="T2" s="99" t="s">
        <v>1</v>
      </c>
      <c r="Y2" s="99" t="s">
        <v>2</v>
      </c>
    </row>
    <row r="3" spans="1:26" x14ac:dyDescent="0.45">
      <c r="A3" s="151" t="s">
        <v>3</v>
      </c>
      <c r="B3" s="151"/>
      <c r="C3" s="151"/>
      <c r="D3" s="151"/>
      <c r="E3" s="151"/>
      <c r="F3" s="151"/>
      <c r="T3" s="151" t="s">
        <v>506</v>
      </c>
      <c r="U3" s="151"/>
      <c r="V3" s="151"/>
      <c r="W3" s="151"/>
      <c r="Y3" t="s">
        <v>4</v>
      </c>
    </row>
    <row r="4" spans="1:26" x14ac:dyDescent="0.45">
      <c r="A4" s="151"/>
      <c r="B4" s="151"/>
      <c r="C4" s="151"/>
      <c r="D4" s="151"/>
      <c r="E4" s="151"/>
      <c r="F4" s="151"/>
      <c r="T4" s="151"/>
      <c r="U4" s="151"/>
      <c r="V4" s="151"/>
      <c r="W4" s="151"/>
      <c r="Y4" t="s">
        <v>507</v>
      </c>
    </row>
    <row r="5" spans="1:26" x14ac:dyDescent="0.45">
      <c r="A5" s="99" t="s">
        <v>504</v>
      </c>
      <c r="T5" s="151"/>
      <c r="U5" s="151"/>
      <c r="V5" s="151"/>
      <c r="W5" s="151"/>
      <c r="Y5" s="99" t="s">
        <v>5</v>
      </c>
    </row>
    <row r="6" spans="1:26" x14ac:dyDescent="0.45">
      <c r="A6" s="151" t="s">
        <v>505</v>
      </c>
      <c r="B6" s="151"/>
      <c r="C6" s="151"/>
      <c r="D6" s="151"/>
      <c r="E6" s="151"/>
      <c r="F6" s="151"/>
      <c r="T6" s="151"/>
      <c r="U6" s="151"/>
      <c r="V6" s="151"/>
      <c r="W6" s="151"/>
      <c r="Y6" t="s">
        <v>6</v>
      </c>
    </row>
    <row r="7" spans="1:26" x14ac:dyDescent="0.45">
      <c r="A7" s="151"/>
      <c r="B7" s="151"/>
      <c r="C7" s="151"/>
      <c r="D7" s="151"/>
      <c r="E7" s="151"/>
      <c r="F7" s="151"/>
      <c r="T7" s="151"/>
      <c r="U7" s="151"/>
      <c r="V7" s="151"/>
      <c r="W7" s="151"/>
    </row>
    <row r="9" spans="1:26" ht="3.6" customHeight="1" x14ac:dyDescent="0.45">
      <c r="A9" s="45"/>
      <c r="B9" s="45"/>
      <c r="C9" s="45"/>
      <c r="D9" s="45"/>
      <c r="E9" s="45"/>
      <c r="F9" s="45"/>
      <c r="G9" s="45"/>
      <c r="H9" s="45"/>
      <c r="I9" s="46"/>
      <c r="J9" s="45"/>
      <c r="K9" s="45"/>
      <c r="L9" s="45"/>
      <c r="M9" s="45"/>
      <c r="N9" s="45"/>
      <c r="O9" s="45"/>
      <c r="P9" s="45"/>
      <c r="Q9" s="45"/>
      <c r="R9" s="45"/>
      <c r="S9" s="45"/>
      <c r="T9" s="45"/>
      <c r="U9" s="45"/>
      <c r="V9" s="45"/>
      <c r="W9" s="45"/>
      <c r="X9" s="45"/>
      <c r="Y9" s="45"/>
      <c r="Z9" s="45"/>
    </row>
    <row r="10" spans="1:26" x14ac:dyDescent="0.45">
      <c r="Y10" s="49" t="s">
        <v>7</v>
      </c>
    </row>
    <row r="11" spans="1:26" ht="57" customHeight="1" x14ac:dyDescent="0.45">
      <c r="Y11" s="19" t="s">
        <v>8</v>
      </c>
      <c r="Z11" s="47" t="s">
        <v>9</v>
      </c>
    </row>
    <row r="12" spans="1:26" x14ac:dyDescent="0.45">
      <c r="Y12" s="133" t="s">
        <v>10</v>
      </c>
      <c r="Z12" s="134">
        <v>0</v>
      </c>
    </row>
    <row r="13" spans="1:26" x14ac:dyDescent="0.45">
      <c r="Y13" s="133" t="s">
        <v>11</v>
      </c>
      <c r="Z13" s="135">
        <v>-40</v>
      </c>
    </row>
    <row r="14" spans="1:26" x14ac:dyDescent="0.45">
      <c r="Y14" s="133" t="s">
        <v>12</v>
      </c>
      <c r="Z14" s="135">
        <v>80</v>
      </c>
    </row>
    <row r="19" spans="1:26" x14ac:dyDescent="0.45">
      <c r="Y19" s="99" t="s">
        <v>13</v>
      </c>
    </row>
    <row r="20" spans="1:26" x14ac:dyDescent="0.45">
      <c r="A20" s="99" t="s">
        <v>14</v>
      </c>
      <c r="Y20" t="s">
        <v>15</v>
      </c>
      <c r="Z20" t="s">
        <v>16</v>
      </c>
    </row>
    <row r="21" spans="1:26" x14ac:dyDescent="0.45">
      <c r="Y21" t="s">
        <v>17</v>
      </c>
      <c r="Z21" t="s">
        <v>18</v>
      </c>
    </row>
    <row r="22" spans="1:26" ht="18" customHeight="1" x14ac:dyDescent="0.45"/>
  </sheetData>
  <mergeCells count="3">
    <mergeCell ref="A3:F4"/>
    <mergeCell ref="A6:F7"/>
    <mergeCell ref="T3:W7"/>
  </mergeCells>
  <dataValidations count="1">
    <dataValidation type="custom" allowBlank="1" showInputMessage="1" showErrorMessage="1" sqref="Z12" xr:uid="{0FF39AC6-51F5-40D8-9EF2-0BD3DB2084F9}">
      <formula1>0</formula1>
    </dataValidation>
  </dataValidations>
  <pageMargins left="0.7" right="0.7" top="0.78740157499999996" bottom="0.78740157499999996" header="0.3" footer="0.3"/>
  <pageSetup paperSize="9" scale="40" orientation="landscape" r:id="rId1"/>
  <headerFooter>
    <oddHeader>&amp;LLeitRess&amp;R2023</oddHeader>
  </headerFooter>
  <ignoredErrors>
    <ignoredError sqref="Z12" listDataValidation="1"/>
  </ignoredErrors>
  <drawing r:id="rId2"/>
  <legacyDrawing r:id="rId3"/>
  <controls>
    <mc:AlternateContent xmlns:mc="http://schemas.openxmlformats.org/markup-compatibility/2006">
      <mc:Choice Requires="x14">
        <control shapeId="1026" r:id="rId4" name="CommandButton1">
          <controlPr defaultSize="0" autoLine="0" autoPict="0" r:id="rId5">
            <anchor moveWithCells="1">
              <from>
                <xdr:col>23</xdr:col>
                <xdr:colOff>838200</xdr:colOff>
                <xdr:row>14</xdr:row>
                <xdr:rowOff>52388</xdr:rowOff>
              </from>
              <to>
                <xdr:col>26</xdr:col>
                <xdr:colOff>9525</xdr:colOff>
                <xdr:row>16</xdr:row>
                <xdr:rowOff>100013</xdr:rowOff>
              </to>
            </anchor>
          </controlPr>
        </control>
      </mc:Choice>
      <mc:Fallback>
        <control shapeId="1026" r:id="rId4" name="CommandButton1"/>
      </mc:Fallback>
    </mc:AlternateContent>
  </controls>
  <tableParts count="1">
    <tablePart r:id="rId6"/>
  </tableParts>
  <extLst>
    <ext xmlns:x14="http://schemas.microsoft.com/office/spreadsheetml/2009/9/main" uri="{A8765BA9-456A-4dab-B4F3-ACF838C121DE}">
      <x14:slicerList>
        <x14:slicer r:id="rId7"/>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4E4D39-5FDC-441D-9DF8-3D988CD17E9D}">
  <sheetPr codeName="Tabelle4">
    <tabColor theme="9" tint="0.59999389629810485"/>
  </sheetPr>
  <dimension ref="A1:AZ201"/>
  <sheetViews>
    <sheetView view="pageLayout" topLeftCell="A22" zoomScale="55" zoomScaleNormal="55" zoomScaleSheetLayoutView="40" zoomScalePageLayoutView="55" workbookViewId="0">
      <selection activeCell="B36" sqref="B36"/>
    </sheetView>
  </sheetViews>
  <sheetFormatPr baseColWidth="10" defaultColWidth="34.46484375" defaultRowHeight="18" outlineLevelRow="1" x14ac:dyDescent="0.55000000000000004"/>
  <cols>
    <col min="1" max="1" width="87.86328125" style="51" bestFit="1" customWidth="1"/>
    <col min="2" max="2" width="23.86328125" style="51" bestFit="1" customWidth="1"/>
    <col min="3" max="3" width="29.46484375" style="51" bestFit="1" customWidth="1"/>
    <col min="4" max="4" width="24.33203125" style="51" bestFit="1" customWidth="1"/>
    <col min="5" max="5" width="30.33203125" style="51" customWidth="1"/>
    <col min="6" max="6" width="87.86328125" style="51" bestFit="1" customWidth="1"/>
    <col min="7" max="7" width="26.33203125" style="51" bestFit="1" customWidth="1"/>
    <col min="8" max="8" width="32" style="110" bestFit="1" customWidth="1"/>
    <col min="9" max="9" width="26.86328125" style="51" bestFit="1" customWidth="1"/>
    <col min="10" max="10" width="11.1328125" style="51" bestFit="1" customWidth="1"/>
    <col min="11" max="11" width="31.86328125" style="51" bestFit="1" customWidth="1"/>
    <col min="12" max="12" width="11.1328125" style="51" bestFit="1" customWidth="1"/>
    <col min="13" max="13" width="87.86328125" style="51" bestFit="1" customWidth="1"/>
    <col min="14" max="14" width="21.53125" style="51" bestFit="1" customWidth="1"/>
    <col min="15" max="15" width="11.46484375" style="51" bestFit="1" customWidth="1"/>
    <col min="16" max="16" width="12.53125" style="51" bestFit="1" customWidth="1"/>
    <col min="17" max="17" width="8.1328125" style="51" bestFit="1" customWidth="1"/>
    <col min="18" max="18" width="11.46484375" style="51" bestFit="1" customWidth="1"/>
    <col min="19" max="19" width="12.53125" style="51" bestFit="1" customWidth="1"/>
    <col min="20" max="20" width="19.33203125" style="51" bestFit="1" customWidth="1"/>
    <col min="21" max="21" width="25" style="51" bestFit="1" customWidth="1"/>
    <col min="22" max="22" width="19.6640625" style="51" bestFit="1" customWidth="1"/>
    <col min="23" max="23" width="87.86328125" style="51" bestFit="1" customWidth="1"/>
    <col min="24" max="24" width="21.53125" style="51" bestFit="1" customWidth="1"/>
    <col min="25" max="25" width="17.53125" style="51" bestFit="1" customWidth="1"/>
    <col min="26" max="27" width="16.86328125" style="51" bestFit="1" customWidth="1"/>
    <col min="28" max="28" width="17.53125" style="51" bestFit="1" customWidth="1"/>
    <col min="29" max="29" width="16.86328125" style="51" bestFit="1" customWidth="1"/>
    <col min="30" max="30" width="18.33203125" style="51" bestFit="1" customWidth="1"/>
    <col min="31" max="31" width="24" style="51" bestFit="1" customWidth="1"/>
    <col min="32" max="32" width="18.6640625" style="51" bestFit="1" customWidth="1"/>
    <col min="33" max="33" width="87.86328125" style="51" bestFit="1" customWidth="1"/>
    <col min="34" max="34" width="21.53125" style="51" bestFit="1" customWidth="1"/>
    <col min="35" max="35" width="11.46484375" style="51" bestFit="1" customWidth="1"/>
    <col min="36" max="36" width="8.1328125" style="51" bestFit="1" customWidth="1"/>
    <col min="37" max="37" width="13.53125" style="51" bestFit="1" customWidth="1"/>
    <col min="38" max="38" width="11.46484375" style="51" bestFit="1" customWidth="1"/>
    <col min="39" max="39" width="8.1328125" style="51" bestFit="1" customWidth="1"/>
    <col min="40" max="40" width="19.86328125" style="51" bestFit="1" customWidth="1"/>
    <col min="41" max="41" width="25.53125" style="51" bestFit="1" customWidth="1"/>
    <col min="42" max="42" width="20.46484375" style="51" bestFit="1" customWidth="1"/>
    <col min="43" max="43" width="87.86328125" style="51" bestFit="1" customWidth="1"/>
    <col min="44" max="44" width="21.53125" style="51" bestFit="1" customWidth="1"/>
    <col min="45" max="45" width="11.46484375" style="51" bestFit="1" customWidth="1"/>
    <col min="46" max="46" width="15.1328125" style="51" bestFit="1" customWidth="1"/>
    <col min="47" max="47" width="15.33203125" style="51" bestFit="1" customWidth="1"/>
    <col min="48" max="48" width="11.46484375" style="51" bestFit="1" customWidth="1"/>
    <col min="49" max="49" width="15.1328125" style="51" bestFit="1" customWidth="1"/>
    <col min="50" max="50" width="21.6640625" style="51" bestFit="1" customWidth="1"/>
    <col min="51" max="51" width="26.6640625" style="51" bestFit="1" customWidth="1"/>
    <col min="52" max="52" width="21.53125" style="51" bestFit="1" customWidth="1"/>
    <col min="53" max="16384" width="34.46484375" style="51"/>
  </cols>
  <sheetData>
    <row r="1" spans="1:52" x14ac:dyDescent="0.55000000000000004">
      <c r="A1" s="50" t="s">
        <v>19</v>
      </c>
      <c r="B1" s="50"/>
      <c r="D1" s="52"/>
      <c r="E1" s="136"/>
    </row>
    <row r="2" spans="1:52" ht="18.75" customHeight="1" x14ac:dyDescent="0.55000000000000004">
      <c r="A2" s="53"/>
      <c r="C2" s="53"/>
      <c r="D2" s="54"/>
      <c r="E2" s="137"/>
    </row>
    <row r="3" spans="1:52" x14ac:dyDescent="0.55000000000000004">
      <c r="A3" s="55" t="s">
        <v>20</v>
      </c>
      <c r="B3" s="55"/>
      <c r="C3" s="55"/>
      <c r="D3" s="57"/>
      <c r="E3" s="57"/>
    </row>
    <row r="4" spans="1:52" x14ac:dyDescent="0.55000000000000004">
      <c r="A4" s="51" t="s">
        <v>21</v>
      </c>
      <c r="C4" s="55"/>
      <c r="D4" s="57"/>
      <c r="E4" s="57"/>
    </row>
    <row r="5" spans="1:52" x14ac:dyDescent="0.55000000000000004">
      <c r="C5" s="55"/>
      <c r="D5" s="57"/>
      <c r="E5" s="57"/>
    </row>
    <row r="6" spans="1:52" x14ac:dyDescent="0.55000000000000004">
      <c r="C6" s="55"/>
      <c r="D6" s="57"/>
      <c r="E6" s="57"/>
    </row>
    <row r="9" spans="1:52" x14ac:dyDescent="0.55000000000000004">
      <c r="A9" s="58" t="s">
        <v>22</v>
      </c>
      <c r="B9" s="58"/>
      <c r="C9" s="58"/>
      <c r="D9" s="58"/>
      <c r="E9" s="58"/>
      <c r="F9" s="63" t="s">
        <v>23</v>
      </c>
      <c r="G9" s="111"/>
      <c r="H9" s="111"/>
      <c r="I9" s="63"/>
      <c r="J9" s="63"/>
      <c r="K9" s="63"/>
      <c r="L9" s="63"/>
      <c r="M9" s="63" t="s">
        <v>24</v>
      </c>
      <c r="N9" s="63"/>
      <c r="O9" s="63"/>
      <c r="P9" s="63"/>
      <c r="Q9" s="63"/>
      <c r="R9" s="63"/>
      <c r="S9" s="63"/>
      <c r="T9" s="63"/>
      <c r="U9" s="63"/>
      <c r="V9" s="63"/>
      <c r="W9" s="63" t="s">
        <v>25</v>
      </c>
      <c r="X9" s="63"/>
      <c r="Y9" s="63"/>
      <c r="Z9" s="63"/>
      <c r="AA9" s="63"/>
      <c r="AB9" s="63"/>
      <c r="AC9" s="63"/>
      <c r="AD9" s="63"/>
      <c r="AE9" s="63"/>
      <c r="AF9" s="63"/>
      <c r="AG9" s="63" t="s">
        <v>26</v>
      </c>
      <c r="AH9" s="63"/>
      <c r="AI9" s="63"/>
      <c r="AJ9" s="63"/>
      <c r="AK9" s="63"/>
      <c r="AL9" s="63"/>
      <c r="AM9" s="63"/>
      <c r="AN9" s="63"/>
      <c r="AO9" s="63"/>
      <c r="AP9" s="63"/>
      <c r="AQ9" s="63" t="s">
        <v>27</v>
      </c>
      <c r="AR9" s="63"/>
      <c r="AS9" s="63"/>
      <c r="AT9" s="63"/>
      <c r="AU9" s="63"/>
      <c r="AV9" s="63"/>
      <c r="AW9" s="63"/>
      <c r="AX9" s="63"/>
      <c r="AY9" s="63"/>
      <c r="AZ9" s="63"/>
    </row>
    <row r="11" spans="1:52" x14ac:dyDescent="0.55000000000000004">
      <c r="A11" s="100" t="s">
        <v>28</v>
      </c>
      <c r="B11" s="51" t="s">
        <v>29</v>
      </c>
      <c r="C11" s="51" t="s">
        <v>30</v>
      </c>
      <c r="D11" s="51" t="s">
        <v>31</v>
      </c>
      <c r="E11" s="56" t="s">
        <v>32</v>
      </c>
      <c r="F11"/>
      <c r="G11"/>
      <c r="M11"/>
      <c r="N11"/>
      <c r="W11"/>
      <c r="X11"/>
      <c r="AG11"/>
      <c r="AH11"/>
      <c r="AQ11"/>
      <c r="AR11"/>
    </row>
    <row r="12" spans="1:52" ht="72" x14ac:dyDescent="0.55000000000000004">
      <c r="A12" s="101" t="s">
        <v>33</v>
      </c>
      <c r="B12" s="51" t="s">
        <v>34</v>
      </c>
      <c r="C12" s="51" t="s">
        <v>35</v>
      </c>
      <c r="D12" s="51" t="s">
        <v>36</v>
      </c>
      <c r="E12" s="56" t="s">
        <v>37</v>
      </c>
    </row>
    <row r="13" spans="1:52" x14ac:dyDescent="0.55000000000000004">
      <c r="A13" s="102" t="s">
        <v>38</v>
      </c>
      <c r="B13" s="51" t="s">
        <v>39</v>
      </c>
      <c r="C13" s="51" t="s">
        <v>40</v>
      </c>
      <c r="D13" s="56" t="s">
        <v>41</v>
      </c>
      <c r="E13" s="56" t="s">
        <v>42</v>
      </c>
      <c r="F13" s="59" t="s">
        <v>43</v>
      </c>
      <c r="G13" s="51" t="s">
        <v>44</v>
      </c>
      <c r="H13" s="112" t="s">
        <v>45</v>
      </c>
      <c r="I13" s="51" t="s">
        <v>46</v>
      </c>
      <c r="J13"/>
      <c r="K13"/>
      <c r="L13"/>
      <c r="N13" s="59" t="s">
        <v>47</v>
      </c>
      <c r="X13" s="59" t="s">
        <v>47</v>
      </c>
      <c r="AH13" s="59" t="s">
        <v>47</v>
      </c>
      <c r="AR13" s="59" t="s">
        <v>47</v>
      </c>
    </row>
    <row r="14" spans="1:52" ht="54" x14ac:dyDescent="0.55000000000000004">
      <c r="A14" s="101" t="s">
        <v>48</v>
      </c>
      <c r="B14" s="51" t="s">
        <v>49</v>
      </c>
      <c r="C14" s="51" t="s">
        <v>50</v>
      </c>
      <c r="D14" s="56" t="s">
        <v>51</v>
      </c>
      <c r="E14" s="56" t="s">
        <v>52</v>
      </c>
      <c r="F14" s="60" t="s">
        <v>53</v>
      </c>
      <c r="G14" s="149"/>
      <c r="H14" s="150"/>
      <c r="I14" s="149"/>
      <c r="J14"/>
      <c r="K14"/>
      <c r="L14"/>
      <c r="N14" s="51" t="s">
        <v>15</v>
      </c>
      <c r="Q14" s="51" t="s">
        <v>17</v>
      </c>
      <c r="T14" s="51" t="s">
        <v>54</v>
      </c>
      <c r="U14" s="51" t="s">
        <v>55</v>
      </c>
      <c r="V14" s="51" t="s">
        <v>56</v>
      </c>
      <c r="X14" s="51" t="s">
        <v>15</v>
      </c>
      <c r="AA14" s="51" t="s">
        <v>17</v>
      </c>
      <c r="AD14" s="51" t="s">
        <v>57</v>
      </c>
      <c r="AE14" s="51" t="s">
        <v>58</v>
      </c>
      <c r="AF14" s="51" t="s">
        <v>59</v>
      </c>
      <c r="AH14" s="51" t="s">
        <v>15</v>
      </c>
      <c r="AK14" s="51" t="s">
        <v>17</v>
      </c>
      <c r="AN14" s="51" t="s">
        <v>60</v>
      </c>
      <c r="AO14" s="51" t="s">
        <v>61</v>
      </c>
      <c r="AP14" s="51" t="s">
        <v>62</v>
      </c>
      <c r="AR14" s="51" t="s">
        <v>15</v>
      </c>
      <c r="AU14" s="51" t="s">
        <v>17</v>
      </c>
      <c r="AX14" s="51" t="s">
        <v>63</v>
      </c>
      <c r="AY14" s="51" t="s">
        <v>64</v>
      </c>
      <c r="AZ14" s="51" t="s">
        <v>65</v>
      </c>
    </row>
    <row r="15" spans="1:52" ht="36" x14ac:dyDescent="0.55000000000000004">
      <c r="A15" s="102" t="s">
        <v>66</v>
      </c>
      <c r="B15" s="51" t="s">
        <v>67</v>
      </c>
      <c r="C15" s="51" t="s">
        <v>68</v>
      </c>
      <c r="D15" s="56" t="s">
        <v>69</v>
      </c>
      <c r="E15" s="56" t="s">
        <v>70</v>
      </c>
      <c r="F15" s="62" t="s">
        <v>71</v>
      </c>
      <c r="G15" s="149">
        <v>9.1172546374484201E-2</v>
      </c>
      <c r="H15" s="150">
        <v>9.2976279564856726E-2</v>
      </c>
      <c r="I15" s="149">
        <v>9.6583745945601776E-2</v>
      </c>
      <c r="J15"/>
      <c r="K15"/>
      <c r="L15"/>
      <c r="M15" s="64" t="s">
        <v>43</v>
      </c>
      <c r="N15" s="56" t="s">
        <v>72</v>
      </c>
      <c r="O15" s="56" t="s">
        <v>73</v>
      </c>
      <c r="P15" s="56" t="s">
        <v>74</v>
      </c>
      <c r="Q15" s="56" t="s">
        <v>72</v>
      </c>
      <c r="R15" s="56" t="s">
        <v>73</v>
      </c>
      <c r="S15" s="56" t="s">
        <v>74</v>
      </c>
      <c r="W15" s="59" t="s">
        <v>43</v>
      </c>
      <c r="X15" s="56" t="s">
        <v>75</v>
      </c>
      <c r="Y15" s="56" t="s">
        <v>76</v>
      </c>
      <c r="Z15" s="56" t="s">
        <v>77</v>
      </c>
      <c r="AA15" s="56" t="s">
        <v>75</v>
      </c>
      <c r="AB15" s="56" t="s">
        <v>76</v>
      </c>
      <c r="AC15" s="56" t="s">
        <v>77</v>
      </c>
      <c r="AG15" s="64" t="s">
        <v>43</v>
      </c>
      <c r="AH15" s="51" t="s">
        <v>78</v>
      </c>
      <c r="AI15" s="56" t="s">
        <v>79</v>
      </c>
      <c r="AJ15" s="56" t="s">
        <v>80</v>
      </c>
      <c r="AK15" s="51" t="s">
        <v>78</v>
      </c>
      <c r="AL15" s="56" t="s">
        <v>79</v>
      </c>
      <c r="AM15" s="56" t="s">
        <v>80</v>
      </c>
      <c r="AQ15" s="59" t="s">
        <v>43</v>
      </c>
      <c r="AR15" s="51" t="s">
        <v>81</v>
      </c>
      <c r="AS15" s="56" t="s">
        <v>82</v>
      </c>
      <c r="AT15" s="51" t="s">
        <v>83</v>
      </c>
      <c r="AU15" s="51" t="s">
        <v>81</v>
      </c>
      <c r="AV15" s="56" t="s">
        <v>82</v>
      </c>
      <c r="AW15" s="51" t="s">
        <v>83</v>
      </c>
    </row>
    <row r="16" spans="1:52" x14ac:dyDescent="0.55000000000000004">
      <c r="A16" s="101" t="s">
        <v>84</v>
      </c>
      <c r="B16" s="51" t="s">
        <v>85</v>
      </c>
      <c r="D16" s="56" t="s">
        <v>42</v>
      </c>
      <c r="E16" s="56"/>
      <c r="F16" s="62" t="s">
        <v>86</v>
      </c>
      <c r="G16" s="149">
        <v>8.6509351566189274E-2</v>
      </c>
      <c r="H16" s="150">
        <v>8.8313084756561785E-2</v>
      </c>
      <c r="I16" s="149">
        <v>9.192055113730685E-2</v>
      </c>
      <c r="J16"/>
      <c r="K16"/>
      <c r="L16"/>
      <c r="M16" s="60" t="s">
        <v>53</v>
      </c>
      <c r="N16" s="65"/>
      <c r="O16" s="65"/>
      <c r="P16" s="65"/>
      <c r="Q16" s="65"/>
      <c r="R16" s="65"/>
      <c r="S16" s="65"/>
      <c r="T16" s="65"/>
      <c r="U16" s="65"/>
      <c r="V16" s="65"/>
      <c r="W16" s="60" t="s">
        <v>53</v>
      </c>
      <c r="AG16" s="60" t="s">
        <v>53</v>
      </c>
      <c r="AH16" s="65"/>
      <c r="AI16" s="65"/>
      <c r="AJ16" s="65"/>
      <c r="AK16" s="65"/>
      <c r="AL16" s="65"/>
      <c r="AM16" s="65"/>
      <c r="AN16" s="65"/>
      <c r="AO16" s="65"/>
      <c r="AP16" s="65"/>
      <c r="AQ16" s="60" t="s">
        <v>53</v>
      </c>
      <c r="AR16" s="65"/>
      <c r="AS16" s="65"/>
      <c r="AT16" s="65"/>
      <c r="AU16" s="65"/>
      <c r="AV16" s="65"/>
      <c r="AW16" s="65"/>
      <c r="AX16" s="65"/>
      <c r="AY16" s="65"/>
      <c r="AZ16" s="65"/>
    </row>
    <row r="17" spans="1:52" x14ac:dyDescent="0.55000000000000004">
      <c r="F17" s="60" t="s">
        <v>87</v>
      </c>
      <c r="G17" s="149"/>
      <c r="H17" s="150"/>
      <c r="I17" s="149"/>
      <c r="J17"/>
      <c r="K17"/>
      <c r="L17"/>
      <c r="M17" s="62" t="s">
        <v>71</v>
      </c>
      <c r="N17" s="65">
        <v>226.76356820706525</v>
      </c>
      <c r="O17" s="65">
        <v>231.97466194391683</v>
      </c>
      <c r="P17" s="65">
        <v>242.39684941762005</v>
      </c>
      <c r="Q17" s="65">
        <v>14.018826926860907</v>
      </c>
      <c r="R17" s="65">
        <v>14.031216179854901</v>
      </c>
      <c r="S17" s="65">
        <v>14.05599468584289</v>
      </c>
      <c r="T17" s="65">
        <v>240.78239513392614</v>
      </c>
      <c r="U17" s="65">
        <v>246.00587812377174</v>
      </c>
      <c r="V17" s="65">
        <v>256.45284410346295</v>
      </c>
      <c r="W17" s="62" t="s">
        <v>71</v>
      </c>
      <c r="X17" s="65">
        <v>1605.0741911800505</v>
      </c>
      <c r="Y17" s="65">
        <v>1608.4786390335576</v>
      </c>
      <c r="Z17" s="65">
        <v>1615.2875347405716</v>
      </c>
      <c r="AA17" s="65">
        <v>12.63609233552989</v>
      </c>
      <c r="AB17" s="65">
        <v>12.647259585515721</v>
      </c>
      <c r="AC17" s="65">
        <v>12.669594085487384</v>
      </c>
      <c r="AD17" s="65">
        <v>1617.7102835155804</v>
      </c>
      <c r="AE17" s="65">
        <v>1621.1258986190733</v>
      </c>
      <c r="AF17" s="65">
        <v>1627.957128826059</v>
      </c>
      <c r="AG17" s="62" t="s">
        <v>71</v>
      </c>
      <c r="AH17" s="65">
        <v>82.828111055334446</v>
      </c>
      <c r="AI17" s="65">
        <v>87.039542728892712</v>
      </c>
      <c r="AJ17" s="65">
        <v>95.462406076009259</v>
      </c>
      <c r="AK17" s="65">
        <v>0.95123773846653559</v>
      </c>
      <c r="AL17" s="65">
        <v>0.95207840260061627</v>
      </c>
      <c r="AM17" s="65">
        <v>0.95375973086877774</v>
      </c>
      <c r="AN17" s="65">
        <v>83.779348793800978</v>
      </c>
      <c r="AO17" s="65">
        <v>87.991621131493332</v>
      </c>
      <c r="AP17" s="65">
        <v>96.416165806878041</v>
      </c>
      <c r="AQ17" s="62" t="s">
        <v>71</v>
      </c>
      <c r="AR17" s="65">
        <v>2371.0509076488347</v>
      </c>
      <c r="AS17" s="65">
        <v>2491.8133803731121</v>
      </c>
      <c r="AT17" s="65">
        <v>2733.3383258216668</v>
      </c>
      <c r="AU17" s="65">
        <v>87.466815827543996</v>
      </c>
      <c r="AV17" s="65">
        <v>87.544115341655996</v>
      </c>
      <c r="AW17" s="65">
        <v>87.698714369879994</v>
      </c>
      <c r="AX17" s="65">
        <v>2458.5177234763787</v>
      </c>
      <c r="AY17" s="65">
        <v>2579.357495714768</v>
      </c>
      <c r="AZ17" s="65">
        <v>2821.0370401915466</v>
      </c>
    </row>
    <row r="18" spans="1:52" x14ac:dyDescent="0.55000000000000004">
      <c r="A18" s="58" t="s">
        <v>88</v>
      </c>
      <c r="B18" s="58"/>
      <c r="C18" s="58"/>
      <c r="D18" s="58"/>
      <c r="E18" s="58"/>
      <c r="F18" s="62" t="s">
        <v>89</v>
      </c>
      <c r="G18" s="149">
        <v>4.5597879467061515E-2</v>
      </c>
      <c r="H18" s="150">
        <v>4.5597879467061515E-2</v>
      </c>
      <c r="I18" s="149">
        <v>4.5597879467061515E-2</v>
      </c>
      <c r="J18"/>
      <c r="K18"/>
      <c r="L18"/>
      <c r="M18" s="62" t="s">
        <v>86</v>
      </c>
      <c r="N18" s="65">
        <v>228.11532961706484</v>
      </c>
      <c r="O18" s="65">
        <v>233.32642335391643</v>
      </c>
      <c r="P18" s="65">
        <v>243.74861082761959</v>
      </c>
      <c r="Q18" s="65">
        <v>23.465632334781759</v>
      </c>
      <c r="R18" s="65">
        <v>23.478021587775753</v>
      </c>
      <c r="S18" s="65">
        <v>23.502800093763742</v>
      </c>
      <c r="T18" s="65">
        <v>251.5809619518466</v>
      </c>
      <c r="U18" s="65">
        <v>256.80444494169217</v>
      </c>
      <c r="V18" s="65">
        <v>267.25141092138335</v>
      </c>
      <c r="W18" s="62" t="s">
        <v>86</v>
      </c>
      <c r="X18" s="65">
        <v>1389.7438526352666</v>
      </c>
      <c r="Y18" s="65">
        <v>1393.1483004887737</v>
      </c>
      <c r="Z18" s="65">
        <v>1399.9571961957877</v>
      </c>
      <c r="AA18" s="65">
        <v>21.151120449726065</v>
      </c>
      <c r="AB18" s="65">
        <v>21.162287699711896</v>
      </c>
      <c r="AC18" s="65">
        <v>21.184622199683556</v>
      </c>
      <c r="AD18" s="65">
        <v>1410.8949730849927</v>
      </c>
      <c r="AE18" s="65">
        <v>1414.3105881884856</v>
      </c>
      <c r="AF18" s="65">
        <v>1421.1418183954713</v>
      </c>
      <c r="AG18" s="62" t="s">
        <v>86</v>
      </c>
      <c r="AH18" s="65">
        <v>84.534976927498249</v>
      </c>
      <c r="AI18" s="65">
        <v>88.74640860105653</v>
      </c>
      <c r="AJ18" s="65">
        <v>97.169271948173062</v>
      </c>
      <c r="AK18" s="65">
        <v>1.5922441407030918</v>
      </c>
      <c r="AL18" s="65">
        <v>1.5930848048371726</v>
      </c>
      <c r="AM18" s="65">
        <v>1.5947661331053342</v>
      </c>
      <c r="AN18" s="65">
        <v>86.127221068201337</v>
      </c>
      <c r="AO18" s="65">
        <v>90.339493405893705</v>
      </c>
      <c r="AP18" s="65">
        <v>98.7640380812784</v>
      </c>
      <c r="AQ18" s="62" t="s">
        <v>86</v>
      </c>
      <c r="AR18" s="65">
        <v>2285.983322755445</v>
      </c>
      <c r="AS18" s="65">
        <v>2406.7457954797219</v>
      </c>
      <c r="AT18" s="65">
        <v>2648.2707409282766</v>
      </c>
      <c r="AU18" s="65">
        <v>146.40769533794398</v>
      </c>
      <c r="AV18" s="65">
        <v>146.48499485205599</v>
      </c>
      <c r="AW18" s="65">
        <v>146.63959388027999</v>
      </c>
      <c r="AX18" s="65">
        <v>2432.391018093389</v>
      </c>
      <c r="AY18" s="65">
        <v>2553.2307903317778</v>
      </c>
      <c r="AZ18" s="65">
        <v>2794.9103348085564</v>
      </c>
    </row>
    <row r="19" spans="1:52" x14ac:dyDescent="0.55000000000000004">
      <c r="A19"/>
      <c r="B19"/>
      <c r="C19" s="6"/>
      <c r="D19"/>
      <c r="E19"/>
      <c r="F19" s="62" t="s">
        <v>90</v>
      </c>
      <c r="G19" s="149">
        <v>2.60134989605742E-2</v>
      </c>
      <c r="H19" s="150">
        <v>2.725626418856612E-2</v>
      </c>
      <c r="I19" s="149">
        <v>2.9741794644549964E-2</v>
      </c>
      <c r="J19"/>
      <c r="K19"/>
      <c r="L19"/>
      <c r="M19" s="60" t="s">
        <v>87</v>
      </c>
      <c r="N19" s="65"/>
      <c r="O19" s="65"/>
      <c r="P19" s="65"/>
      <c r="Q19" s="65"/>
      <c r="R19" s="65"/>
      <c r="S19" s="65"/>
      <c r="T19" s="65"/>
      <c r="U19" s="65"/>
      <c r="V19" s="65"/>
      <c r="W19" s="60" t="s">
        <v>87</v>
      </c>
      <c r="AG19" s="60" t="s">
        <v>87</v>
      </c>
      <c r="AH19" s="65"/>
      <c r="AI19" s="65"/>
      <c r="AJ19" s="65"/>
      <c r="AK19" s="65"/>
      <c r="AL19" s="65"/>
      <c r="AM19" s="65"/>
      <c r="AN19" s="65"/>
      <c r="AO19" s="65"/>
      <c r="AP19" s="65"/>
      <c r="AQ19" s="60" t="s">
        <v>87</v>
      </c>
      <c r="AR19" s="65"/>
      <c r="AS19" s="65"/>
      <c r="AT19" s="65"/>
      <c r="AU19" s="65"/>
      <c r="AV19" s="65"/>
      <c r="AW19" s="65"/>
      <c r="AX19" s="65"/>
      <c r="AY19" s="65"/>
      <c r="AZ19" s="65"/>
    </row>
    <row r="20" spans="1:52" x14ac:dyDescent="0.55000000000000004">
      <c r="A20" s="129" t="s">
        <v>28</v>
      </c>
      <c r="B20" s="130" t="s">
        <v>31</v>
      </c>
      <c r="C20" s="130" t="s">
        <v>91</v>
      </c>
      <c r="D20" s="131" t="s">
        <v>92</v>
      </c>
      <c r="E20" s="138"/>
      <c r="F20" s="62" t="s">
        <v>93</v>
      </c>
      <c r="G20" s="149">
        <v>1.8686521488201945E-2</v>
      </c>
      <c r="H20" s="149">
        <v>1.9202864780844892E-2</v>
      </c>
      <c r="I20" s="149">
        <v>2.0235551366130783E-2</v>
      </c>
      <c r="J20"/>
      <c r="K20"/>
      <c r="L20"/>
      <c r="M20" s="62" t="s">
        <v>89</v>
      </c>
      <c r="N20" s="65">
        <v>177.83066465813656</v>
      </c>
      <c r="O20" s="65">
        <v>177.83066465813656</v>
      </c>
      <c r="P20" s="65">
        <v>177.83066465813656</v>
      </c>
      <c r="Q20" s="65">
        <v>0.26617535729285186</v>
      </c>
      <c r="R20" s="65">
        <v>0.26617535729285186</v>
      </c>
      <c r="S20" s="65">
        <v>0.26617535729285186</v>
      </c>
      <c r="T20" s="65">
        <v>178.09684001542942</v>
      </c>
      <c r="U20" s="65">
        <v>178.09684001542942</v>
      </c>
      <c r="V20" s="65">
        <v>178.09684001542942</v>
      </c>
      <c r="W20" s="62" t="s">
        <v>89</v>
      </c>
      <c r="X20" s="65">
        <v>219.5491013859569</v>
      </c>
      <c r="Y20" s="65">
        <v>219.5491013859569</v>
      </c>
      <c r="Z20" s="65">
        <v>219.5491013859569</v>
      </c>
      <c r="AA20" s="65">
        <v>0.23992138641433894</v>
      </c>
      <c r="AB20" s="65">
        <v>0.23992138641433894</v>
      </c>
      <c r="AC20" s="65">
        <v>0.23992138641433894</v>
      </c>
      <c r="AD20" s="65">
        <v>219.78902277237125</v>
      </c>
      <c r="AE20" s="65">
        <v>219.78902277237125</v>
      </c>
      <c r="AF20" s="65">
        <v>219.78902277237125</v>
      </c>
      <c r="AG20" s="62" t="s">
        <v>89</v>
      </c>
      <c r="AH20" s="65">
        <v>60.742569382690959</v>
      </c>
      <c r="AI20" s="65">
        <v>60.742569382690959</v>
      </c>
      <c r="AJ20" s="65">
        <v>60.742569382690959</v>
      </c>
      <c r="AK20" s="65">
        <v>1.8061143505640673E-2</v>
      </c>
      <c r="AL20" s="65">
        <v>1.8061143505640673E-2</v>
      </c>
      <c r="AM20" s="65">
        <v>1.8061143505640673E-2</v>
      </c>
      <c r="AN20" s="65">
        <v>60.7606305261966</v>
      </c>
      <c r="AO20" s="65">
        <v>60.7606305261966</v>
      </c>
      <c r="AP20" s="65">
        <v>60.7606305261966</v>
      </c>
      <c r="AQ20" s="62" t="s">
        <v>89</v>
      </c>
      <c r="AR20" s="65">
        <v>2521.3432366550078</v>
      </c>
      <c r="AS20" s="65">
        <v>2521.3432366550078</v>
      </c>
      <c r="AT20" s="65">
        <v>2521.3432366550078</v>
      </c>
      <c r="AU20" s="65">
        <v>1.6607317484999997</v>
      </c>
      <c r="AV20" s="65">
        <v>1.6607317484999997</v>
      </c>
      <c r="AW20" s="65">
        <v>1.6607317484999997</v>
      </c>
      <c r="AX20" s="65">
        <v>2523.0039684035078</v>
      </c>
      <c r="AY20" s="65">
        <v>2523.0039684035078</v>
      </c>
      <c r="AZ20" s="65">
        <v>2523.0039684035078</v>
      </c>
    </row>
    <row r="21" spans="1:52" ht="72" x14ac:dyDescent="0.55000000000000004">
      <c r="A21" t="s">
        <v>35</v>
      </c>
      <c r="B21" t="s">
        <v>94</v>
      </c>
      <c r="C21" s="51">
        <v>11000</v>
      </c>
      <c r="D21" s="105" t="s">
        <v>95</v>
      </c>
      <c r="E21" s="105"/>
      <c r="F21" s="62" t="s">
        <v>96</v>
      </c>
      <c r="G21" s="149">
        <v>2.4940982651373397E-2</v>
      </c>
      <c r="H21" s="150">
        <v>2.551018648267615E-2</v>
      </c>
      <c r="I21" s="149">
        <v>2.6648594145281659E-2</v>
      </c>
      <c r="J21"/>
      <c r="K21"/>
      <c r="L21"/>
      <c r="M21" s="62" t="s">
        <v>90</v>
      </c>
      <c r="N21" s="65">
        <v>62.873623865013315</v>
      </c>
      <c r="O21" s="65">
        <v>66.546549146003272</v>
      </c>
      <c r="P21" s="65">
        <v>73.892399707983174</v>
      </c>
      <c r="Q21" s="65">
        <v>3.5643300117488255</v>
      </c>
      <c r="R21" s="65">
        <v>3.5740091156503837</v>
      </c>
      <c r="S21" s="65">
        <v>3.5933673234535002</v>
      </c>
      <c r="T21" s="65">
        <v>66.437953876762137</v>
      </c>
      <c r="U21" s="65">
        <v>70.120558261653656</v>
      </c>
      <c r="V21" s="65">
        <v>77.48576703143668</v>
      </c>
      <c r="W21" s="62" t="s">
        <v>90</v>
      </c>
      <c r="X21" s="65">
        <v>450.60781100445769</v>
      </c>
      <c r="Y21" s="65">
        <v>452.70815348988327</v>
      </c>
      <c r="Z21" s="65">
        <v>456.90883846073456</v>
      </c>
      <c r="AA21" s="65">
        <v>3.2127654744392844</v>
      </c>
      <c r="AB21" s="65">
        <v>3.2214898884907153</v>
      </c>
      <c r="AC21" s="65">
        <v>3.2389387165935761</v>
      </c>
      <c r="AD21" s="65">
        <v>453.82057647889695</v>
      </c>
      <c r="AE21" s="65">
        <v>455.92964337837401</v>
      </c>
      <c r="AF21" s="65">
        <v>460.14777717732812</v>
      </c>
      <c r="AG21" s="62" t="s">
        <v>90</v>
      </c>
      <c r="AH21" s="65">
        <v>30.764106480242503</v>
      </c>
      <c r="AI21" s="65">
        <v>33.411886374957277</v>
      </c>
      <c r="AJ21" s="65">
        <v>38.707446164386816</v>
      </c>
      <c r="AK21" s="65">
        <v>0.24185513076189738</v>
      </c>
      <c r="AL21" s="65">
        <v>0.24251189961664796</v>
      </c>
      <c r="AM21" s="65">
        <v>0.24382543732614909</v>
      </c>
      <c r="AN21" s="65">
        <v>31.005961611004402</v>
      </c>
      <c r="AO21" s="65">
        <v>33.654398274573921</v>
      </c>
      <c r="AP21" s="65">
        <v>38.951271601712968</v>
      </c>
      <c r="AQ21" s="62" t="s">
        <v>90</v>
      </c>
      <c r="AR21" s="65">
        <v>649.73050325732845</v>
      </c>
      <c r="AS21" s="65">
        <v>735.94725581430362</v>
      </c>
      <c r="AT21" s="65">
        <v>908.38076092825372</v>
      </c>
      <c r="AU21" s="65">
        <v>22.238707868550001</v>
      </c>
      <c r="AV21" s="65">
        <v>22.299098113949999</v>
      </c>
      <c r="AW21" s="65">
        <v>22.41987860475</v>
      </c>
      <c r="AX21" s="65">
        <v>671.96921112587847</v>
      </c>
      <c r="AY21" s="65">
        <v>758.2463539282536</v>
      </c>
      <c r="AZ21" s="65">
        <v>930.80063953300373</v>
      </c>
    </row>
    <row r="22" spans="1:52" ht="72" x14ac:dyDescent="0.55000000000000004">
      <c r="A22" t="s">
        <v>40</v>
      </c>
      <c r="B22" t="s">
        <v>94</v>
      </c>
      <c r="C22" s="51">
        <v>140100</v>
      </c>
      <c r="D22" s="105" t="s">
        <v>95</v>
      </c>
      <c r="E22" s="105"/>
      <c r="F22" s="62" t="s">
        <v>97</v>
      </c>
      <c r="G22" s="150">
        <v>1.4452755348007409E-2</v>
      </c>
      <c r="H22" s="150">
        <v>1.5178220044831828E-2</v>
      </c>
      <c r="I22" s="149">
        <v>1.6629149438480671E-2</v>
      </c>
      <c r="J22"/>
      <c r="K22"/>
      <c r="L22"/>
      <c r="M22" s="62" t="s">
        <v>93</v>
      </c>
      <c r="N22" s="65">
        <v>45.132551060885177</v>
      </c>
      <c r="O22" s="65">
        <v>46.678364997461458</v>
      </c>
      <c r="P22" s="65">
        <v>49.769992870614011</v>
      </c>
      <c r="Q22" s="65">
        <v>2.6218756648540986</v>
      </c>
      <c r="R22" s="65">
        <v>2.6365879027844672</v>
      </c>
      <c r="S22" s="65">
        <v>2.6660123786452044</v>
      </c>
      <c r="T22" s="65">
        <v>47.754426725739279</v>
      </c>
      <c r="U22" s="65">
        <v>49.314952900245927</v>
      </c>
      <c r="V22" s="65">
        <v>52.436005249259217</v>
      </c>
      <c r="W22" s="62" t="s">
        <v>93</v>
      </c>
      <c r="X22" s="65">
        <v>333.46904651402531</v>
      </c>
      <c r="Y22" s="65">
        <v>337.13992467724688</v>
      </c>
      <c r="Z22" s="65">
        <v>344.48168100368997</v>
      </c>
      <c r="AA22" s="65">
        <v>2.3632692782514959</v>
      </c>
      <c r="AB22" s="65">
        <v>2.3765303876096704</v>
      </c>
      <c r="AC22" s="65">
        <v>2.4030526063260189</v>
      </c>
      <c r="AD22" s="65">
        <v>335.8323157922768</v>
      </c>
      <c r="AE22" s="65">
        <v>339.51645506485653</v>
      </c>
      <c r="AF22" s="65">
        <v>346.88473361001599</v>
      </c>
      <c r="AG22" s="62" t="s">
        <v>93</v>
      </c>
      <c r="AH22" s="65">
        <v>20.878935336533761</v>
      </c>
      <c r="AI22" s="65">
        <v>21.606743221640635</v>
      </c>
      <c r="AJ22" s="65">
        <v>23.062358991854378</v>
      </c>
      <c r="AK22" s="65">
        <v>0.17790554737483441</v>
      </c>
      <c r="AL22" s="65">
        <v>0.17890383603405527</v>
      </c>
      <c r="AM22" s="65">
        <v>0.18090041335249701</v>
      </c>
      <c r="AN22" s="65">
        <v>21.056840883908595</v>
      </c>
      <c r="AO22" s="65">
        <v>21.785647057674691</v>
      </c>
      <c r="AP22" s="65">
        <v>23.243259405206874</v>
      </c>
      <c r="AQ22" s="62" t="s">
        <v>93</v>
      </c>
      <c r="AR22" s="65">
        <v>443.29380906201163</v>
      </c>
      <c r="AS22" s="65">
        <v>472.48933704607816</v>
      </c>
      <c r="AT22" s="65">
        <v>530.88039301421134</v>
      </c>
      <c r="AU22" s="65">
        <v>16.358509673951996</v>
      </c>
      <c r="AV22" s="65">
        <v>16.450302846959996</v>
      </c>
      <c r="AW22" s="65">
        <v>16.633889192975996</v>
      </c>
      <c r="AX22" s="65">
        <v>459.6523187359636</v>
      </c>
      <c r="AY22" s="65">
        <v>488.93963989303813</v>
      </c>
      <c r="AZ22" s="65">
        <v>547.51428220718731</v>
      </c>
    </row>
    <row r="23" spans="1:52" ht="43.5" x14ac:dyDescent="0.55000000000000004">
      <c r="A23" t="s">
        <v>50</v>
      </c>
      <c r="B23" t="s">
        <v>94</v>
      </c>
      <c r="C23" s="51">
        <v>36500</v>
      </c>
      <c r="D23" s="40" t="s">
        <v>98</v>
      </c>
      <c r="E23" s="40"/>
      <c r="F23" s="62" t="s">
        <v>99</v>
      </c>
      <c r="G23" s="149">
        <v>3.2105486120049251E-2</v>
      </c>
      <c r="H23" s="150">
        <v>3.2105486120049251E-2</v>
      </c>
      <c r="I23" s="149">
        <v>3.2105486120049251E-2</v>
      </c>
      <c r="J23"/>
      <c r="K23"/>
      <c r="L23"/>
      <c r="M23" s="62" t="s">
        <v>96</v>
      </c>
      <c r="N23" s="65">
        <v>60.212820287250466</v>
      </c>
      <c r="O23" s="65">
        <v>62.216547280283997</v>
      </c>
      <c r="P23" s="65">
        <v>66.224001266351053</v>
      </c>
      <c r="Q23" s="65">
        <v>3.6988695559804849</v>
      </c>
      <c r="R23" s="65">
        <v>3.7298426884654714</v>
      </c>
      <c r="S23" s="65">
        <v>3.7917889534354439</v>
      </c>
      <c r="T23" s="65">
        <v>63.911689843230953</v>
      </c>
      <c r="U23" s="65">
        <v>65.946389968749472</v>
      </c>
      <c r="V23" s="65">
        <v>70.015790219786496</v>
      </c>
      <c r="W23" s="62" t="s">
        <v>96</v>
      </c>
      <c r="X23" s="65">
        <v>464.9095368145139</v>
      </c>
      <c r="Y23" s="65">
        <v>469.84156827999095</v>
      </c>
      <c r="Z23" s="65">
        <v>479.705631210945</v>
      </c>
      <c r="AA23" s="65">
        <v>3.3340348297541689</v>
      </c>
      <c r="AB23" s="65">
        <v>3.3619529547187463</v>
      </c>
      <c r="AC23" s="65">
        <v>3.4177892046479017</v>
      </c>
      <c r="AD23" s="65">
        <v>468.24357164426806</v>
      </c>
      <c r="AE23" s="65">
        <v>473.20352123470968</v>
      </c>
      <c r="AF23" s="65">
        <v>483.12342041559288</v>
      </c>
      <c r="AG23" s="62" t="s">
        <v>96</v>
      </c>
      <c r="AH23" s="65">
        <v>25.897613012142365</v>
      </c>
      <c r="AI23" s="65">
        <v>26.148751976876934</v>
      </c>
      <c r="AJ23" s="65">
        <v>26.651029906346068</v>
      </c>
      <c r="AK23" s="65">
        <v>0.25098421784293029</v>
      </c>
      <c r="AL23" s="65">
        <v>0.25308587817813211</v>
      </c>
      <c r="AM23" s="65">
        <v>0.25728919884853579</v>
      </c>
      <c r="AN23" s="65">
        <v>26.148597229985295</v>
      </c>
      <c r="AO23" s="65">
        <v>26.401837855055067</v>
      </c>
      <c r="AP23" s="65">
        <v>26.908319105194604</v>
      </c>
      <c r="AQ23" s="62" t="s">
        <v>96</v>
      </c>
      <c r="AR23" s="65">
        <v>535.66909011741745</v>
      </c>
      <c r="AS23" s="65">
        <v>567.12882878522203</v>
      </c>
      <c r="AT23" s="65">
        <v>630.04830612083117</v>
      </c>
      <c r="AU23" s="65">
        <v>23.078132279609999</v>
      </c>
      <c r="AV23" s="65">
        <v>23.271381064890001</v>
      </c>
      <c r="AW23" s="65">
        <v>23.65787863545</v>
      </c>
      <c r="AX23" s="65">
        <v>558.74722239702749</v>
      </c>
      <c r="AY23" s="65">
        <v>590.40020985011199</v>
      </c>
      <c r="AZ23" s="65">
        <v>653.70618475628112</v>
      </c>
    </row>
    <row r="24" spans="1:52" ht="29.25" x14ac:dyDescent="0.55000000000000004">
      <c r="A24" t="s">
        <v>68</v>
      </c>
      <c r="B24" t="s">
        <v>94</v>
      </c>
      <c r="C24" s="51">
        <v>11300</v>
      </c>
      <c r="D24" s="105" t="s">
        <v>100</v>
      </c>
      <c r="E24" s="105"/>
      <c r="F24" s="62" t="s">
        <v>101</v>
      </c>
      <c r="G24" s="149">
        <v>3.757120648552395E-2</v>
      </c>
      <c r="H24" s="150">
        <v>3.8296671182348377E-2</v>
      </c>
      <c r="I24" s="149">
        <v>3.9747600575997209E-2</v>
      </c>
      <c r="J24"/>
      <c r="K24"/>
      <c r="L24"/>
      <c r="M24" s="62" t="s">
        <v>97</v>
      </c>
      <c r="N24" s="65">
        <v>38.981646415986503</v>
      </c>
      <c r="O24" s="65">
        <v>40.81283345351661</v>
      </c>
      <c r="P24" s="65">
        <v>44.475207528576824</v>
      </c>
      <c r="Q24" s="65">
        <v>1.5239749093003463</v>
      </c>
      <c r="R24" s="65">
        <v>1.541881251518229</v>
      </c>
      <c r="S24" s="65">
        <v>1.5776939359539945</v>
      </c>
      <c r="T24" s="65">
        <v>40.505621325286853</v>
      </c>
      <c r="U24" s="65">
        <v>42.354714705034837</v>
      </c>
      <c r="V24" s="65">
        <v>46.052901464530819</v>
      </c>
      <c r="W24" s="62" t="s">
        <v>97</v>
      </c>
      <c r="X24" s="65">
        <v>234.60584664790957</v>
      </c>
      <c r="Y24" s="65">
        <v>238.17090797648038</v>
      </c>
      <c r="Z24" s="65">
        <v>245.30103063362199</v>
      </c>
      <c r="AA24" s="65">
        <v>1.3736589923977334</v>
      </c>
      <c r="AB24" s="65">
        <v>1.3897991583928797</v>
      </c>
      <c r="AC24" s="65">
        <v>1.4220794903831726</v>
      </c>
      <c r="AD24" s="65">
        <v>235.97950564030731</v>
      </c>
      <c r="AE24" s="65">
        <v>239.56070713487327</v>
      </c>
      <c r="AF24" s="65">
        <v>246.72311012400516</v>
      </c>
      <c r="AG24" s="62" t="s">
        <v>97</v>
      </c>
      <c r="AH24" s="65">
        <v>9.4374322152349954</v>
      </c>
      <c r="AI24" s="65">
        <v>11.442265017622281</v>
      </c>
      <c r="AJ24" s="65">
        <v>15.451930622396851</v>
      </c>
      <c r="AK24" s="65">
        <v>0.10340825618047723</v>
      </c>
      <c r="AL24" s="65">
        <v>0.10462327856176579</v>
      </c>
      <c r="AM24" s="65">
        <v>0.10705332332434291</v>
      </c>
      <c r="AN24" s="65">
        <v>9.5408404714154731</v>
      </c>
      <c r="AO24" s="65">
        <v>11.546888296184047</v>
      </c>
      <c r="AP24" s="65">
        <v>15.558983945721193</v>
      </c>
      <c r="AQ24" s="62" t="s">
        <v>97</v>
      </c>
      <c r="AR24" s="65">
        <v>475.36533205701045</v>
      </c>
      <c r="AS24" s="65">
        <v>514.72311911348527</v>
      </c>
      <c r="AT24" s="65">
        <v>593.43869322643502</v>
      </c>
      <c r="AU24" s="65">
        <v>9.5084441382299989</v>
      </c>
      <c r="AV24" s="65">
        <v>9.6201660922199981</v>
      </c>
      <c r="AW24" s="65">
        <v>9.8436100001999982</v>
      </c>
      <c r="AX24" s="65">
        <v>484.87377619524045</v>
      </c>
      <c r="AY24" s="65">
        <v>524.34328520570523</v>
      </c>
      <c r="AZ24" s="65">
        <v>603.28230322663501</v>
      </c>
    </row>
    <row r="25" spans="1:52" x14ac:dyDescent="0.55000000000000004">
      <c r="A25"/>
      <c r="B25"/>
      <c r="D25" s="105"/>
      <c r="E25" s="105"/>
      <c r="F25" s="62" t="s">
        <v>102</v>
      </c>
      <c r="G25" s="149">
        <v>4.2705008012950641E-3</v>
      </c>
      <c r="H25" s="150">
        <v>4.8943988324483484E-3</v>
      </c>
      <c r="I25" s="149">
        <v>6.1422109759121041E-3</v>
      </c>
      <c r="J25"/>
      <c r="K25"/>
      <c r="L25"/>
      <c r="M25" s="62" t="s">
        <v>99</v>
      </c>
      <c r="N25" s="65">
        <v>101.04739886688944</v>
      </c>
      <c r="O25" s="65">
        <v>101.04739886688944</v>
      </c>
      <c r="P25" s="65">
        <v>101.04739886688944</v>
      </c>
      <c r="Q25" s="65">
        <v>2.2897856099916352</v>
      </c>
      <c r="R25" s="65">
        <v>2.2897856099916352</v>
      </c>
      <c r="S25" s="65">
        <v>2.2897856099916352</v>
      </c>
      <c r="T25" s="65">
        <v>103.33718447688108</v>
      </c>
      <c r="U25" s="65">
        <v>103.33718447688108</v>
      </c>
      <c r="V25" s="65">
        <v>103.33718447688108</v>
      </c>
      <c r="W25" s="62" t="s">
        <v>99</v>
      </c>
      <c r="X25" s="65">
        <v>393.51345359932287</v>
      </c>
      <c r="Y25" s="65">
        <v>393.51345359932287</v>
      </c>
      <c r="Z25" s="65">
        <v>393.51345359932287</v>
      </c>
      <c r="AA25" s="65">
        <v>2.063934632146915</v>
      </c>
      <c r="AB25" s="65">
        <v>2.063934632146915</v>
      </c>
      <c r="AC25" s="65">
        <v>2.063934632146915</v>
      </c>
      <c r="AD25" s="65">
        <v>395.5773882314698</v>
      </c>
      <c r="AE25" s="65">
        <v>395.5773882314698</v>
      </c>
      <c r="AF25" s="65">
        <v>395.5773882314698</v>
      </c>
      <c r="AG25" s="62" t="s">
        <v>99</v>
      </c>
      <c r="AH25" s="65">
        <v>23.244685808137152</v>
      </c>
      <c r="AI25" s="65">
        <v>23.244685808137152</v>
      </c>
      <c r="AJ25" s="65">
        <v>23.244685808137152</v>
      </c>
      <c r="AK25" s="65">
        <v>0.15537180796834232</v>
      </c>
      <c r="AL25" s="65">
        <v>0.15537180796834232</v>
      </c>
      <c r="AM25" s="65">
        <v>0.15537180796834232</v>
      </c>
      <c r="AN25" s="65">
        <v>23.400057616105496</v>
      </c>
      <c r="AO25" s="65">
        <v>23.400057616105496</v>
      </c>
      <c r="AP25" s="65">
        <v>23.400057616105496</v>
      </c>
      <c r="AQ25" s="62" t="s">
        <v>99</v>
      </c>
      <c r="AR25" s="65">
        <v>1359.0659213915326</v>
      </c>
      <c r="AS25" s="65">
        <v>1359.0659213915326</v>
      </c>
      <c r="AT25" s="65">
        <v>1359.0659213915326</v>
      </c>
      <c r="AU25" s="65">
        <v>14.286520354277998</v>
      </c>
      <c r="AV25" s="65">
        <v>14.286520354277998</v>
      </c>
      <c r="AW25" s="65">
        <v>14.286520354277998</v>
      </c>
      <c r="AX25" s="65">
        <v>1373.3524417458107</v>
      </c>
      <c r="AY25" s="65">
        <v>1373.3524417458107</v>
      </c>
      <c r="AZ25" s="65">
        <v>1373.3524417458107</v>
      </c>
    </row>
    <row r="26" spans="1:52" x14ac:dyDescent="0.55000000000000004">
      <c r="F26" s="62" t="s">
        <v>103</v>
      </c>
      <c r="G26" s="149">
        <v>5.3219411547197329E-3</v>
      </c>
      <c r="H26" s="150">
        <v>5.519432783404896E-3</v>
      </c>
      <c r="I26" s="149">
        <v>5.9144160407752231E-3</v>
      </c>
      <c r="J26"/>
      <c r="K26"/>
      <c r="L26"/>
      <c r="M26" s="62" t="s">
        <v>101</v>
      </c>
      <c r="N26" s="65">
        <v>115.68460035812194</v>
      </c>
      <c r="O26" s="65">
        <v>117.51578739565204</v>
      </c>
      <c r="P26" s="65">
        <v>121.17816147071227</v>
      </c>
      <c r="Q26" s="65">
        <v>3.614661352036928</v>
      </c>
      <c r="R26" s="65">
        <v>3.6325676942548109</v>
      </c>
      <c r="S26" s="65">
        <v>3.6683803786905762</v>
      </c>
      <c r="T26" s="65">
        <v>119.29926171015887</v>
      </c>
      <c r="U26" s="65">
        <v>121.14835508990686</v>
      </c>
      <c r="V26" s="65">
        <v>124.84654184940284</v>
      </c>
      <c r="W26" s="62" t="s">
        <v>101</v>
      </c>
      <c r="X26" s="65">
        <v>567.39639315732347</v>
      </c>
      <c r="Y26" s="65">
        <v>570.96145448589436</v>
      </c>
      <c r="Z26" s="65">
        <v>578.09157714303592</v>
      </c>
      <c r="AA26" s="65">
        <v>3.2581324275067227</v>
      </c>
      <c r="AB26" s="65">
        <v>3.2742725935018693</v>
      </c>
      <c r="AC26" s="65">
        <v>3.3065529254921624</v>
      </c>
      <c r="AD26" s="65">
        <v>570.65452558483014</v>
      </c>
      <c r="AE26" s="65">
        <v>574.23572707939627</v>
      </c>
      <c r="AF26" s="65">
        <v>581.39813006852808</v>
      </c>
      <c r="AG26" s="62" t="s">
        <v>101</v>
      </c>
      <c r="AH26" s="65">
        <v>17.282580577742884</v>
      </c>
      <c r="AI26" s="65">
        <v>19.287413380130172</v>
      </c>
      <c r="AJ26" s="65">
        <v>23.297078984904743</v>
      </c>
      <c r="AK26" s="65">
        <v>0.24527032880660035</v>
      </c>
      <c r="AL26" s="65">
        <v>0.24648535118788892</v>
      </c>
      <c r="AM26" s="65">
        <v>0.24891539595046602</v>
      </c>
      <c r="AN26" s="65">
        <v>17.527850906549485</v>
      </c>
      <c r="AO26" s="65">
        <v>19.533898731318061</v>
      </c>
      <c r="AP26" s="65">
        <v>23.545994380855209</v>
      </c>
      <c r="AQ26" s="62" t="s">
        <v>101</v>
      </c>
      <c r="AR26" s="65">
        <v>1314.0448682788231</v>
      </c>
      <c r="AS26" s="65">
        <v>1353.4026553352978</v>
      </c>
      <c r="AT26" s="65">
        <v>1432.1182294482478</v>
      </c>
      <c r="AU26" s="65">
        <v>22.552737144629994</v>
      </c>
      <c r="AV26" s="65">
        <v>22.664459098619997</v>
      </c>
      <c r="AW26" s="65">
        <v>22.887903006599995</v>
      </c>
      <c r="AX26" s="65">
        <v>1336.5976054234532</v>
      </c>
      <c r="AY26" s="65">
        <v>1376.0671144339178</v>
      </c>
      <c r="AZ26" s="65">
        <v>1455.0061324548478</v>
      </c>
    </row>
    <row r="27" spans="1:52" x14ac:dyDescent="0.55000000000000004">
      <c r="A27" s="58" t="s">
        <v>104</v>
      </c>
      <c r="B27" s="58"/>
      <c r="C27" s="58"/>
      <c r="D27" s="58"/>
      <c r="E27" s="58"/>
      <c r="F27" s="62" t="s">
        <v>105</v>
      </c>
      <c r="G27" s="149">
        <v>2.9535602084967225E-2</v>
      </c>
      <c r="H27" s="150">
        <v>3.1346586522555217E-2</v>
      </c>
      <c r="I27" s="149">
        <v>3.4968555397731194E-2</v>
      </c>
      <c r="J27"/>
      <c r="K27"/>
      <c r="L27"/>
      <c r="M27" s="62" t="s">
        <v>102</v>
      </c>
      <c r="N27" s="65">
        <v>10.701026055889338</v>
      </c>
      <c r="O27" s="65">
        <v>12.27584690816523</v>
      </c>
      <c r="P27" s="65">
        <v>15.425488612717015</v>
      </c>
      <c r="Q27" s="65">
        <v>0.2683047601511947</v>
      </c>
      <c r="R27" s="65">
        <v>0.28369453535467232</v>
      </c>
      <c r="S27" s="65">
        <v>0.31457087680064311</v>
      </c>
      <c r="T27" s="65">
        <v>10.969330816040532</v>
      </c>
      <c r="U27" s="65">
        <v>12.559541443519903</v>
      </c>
      <c r="V27" s="65">
        <v>15.740059489517657</v>
      </c>
      <c r="W27" s="62" t="s">
        <v>102</v>
      </c>
      <c r="X27" s="65">
        <v>43.975549080208623</v>
      </c>
      <c r="Y27" s="65">
        <v>47.041501822779509</v>
      </c>
      <c r="Z27" s="65">
        <v>53.173407307921295</v>
      </c>
      <c r="AA27" s="65">
        <v>0.24184075750565365</v>
      </c>
      <c r="AB27" s="65">
        <v>0.25571257584742813</v>
      </c>
      <c r="AC27" s="65">
        <v>0.2835434566714915</v>
      </c>
      <c r="AD27" s="65">
        <v>44.217389837714279</v>
      </c>
      <c r="AE27" s="65">
        <v>47.297214398626934</v>
      </c>
      <c r="AF27" s="65">
        <v>53.456950764592783</v>
      </c>
      <c r="AG27" s="62" t="s">
        <v>102</v>
      </c>
      <c r="AH27" s="65">
        <v>7.4427390742075783</v>
      </c>
      <c r="AI27" s="65">
        <v>9.1668952842606437</v>
      </c>
      <c r="AJ27" s="65">
        <v>12.615207704366776</v>
      </c>
      <c r="AK27" s="65">
        <v>1.8205632653685799E-2</v>
      </c>
      <c r="AL27" s="65">
        <v>1.9249895132739205E-2</v>
      </c>
      <c r="AM27" s="65">
        <v>2.1344987779393525E-2</v>
      </c>
      <c r="AN27" s="65">
        <v>7.4609447068612642</v>
      </c>
      <c r="AO27" s="65">
        <v>9.1861451793933835</v>
      </c>
      <c r="AP27" s="65">
        <v>12.63655269214617</v>
      </c>
      <c r="AQ27" s="62" t="s">
        <v>102</v>
      </c>
      <c r="AR27" s="65">
        <v>194.68915852853792</v>
      </c>
      <c r="AS27" s="65">
        <v>228.53685539710631</v>
      </c>
      <c r="AT27" s="65">
        <v>296.23224913424303</v>
      </c>
      <c r="AU27" s="65">
        <v>1.674017602488</v>
      </c>
      <c r="AV27" s="65">
        <v>1.770038092674</v>
      </c>
      <c r="AW27" s="65">
        <v>1.9626829754999999</v>
      </c>
      <c r="AX27" s="65">
        <v>196.36317613102591</v>
      </c>
      <c r="AY27" s="65">
        <v>230.30689348978032</v>
      </c>
      <c r="AZ27" s="65">
        <v>298.19493210974304</v>
      </c>
    </row>
    <row r="28" spans="1:52" x14ac:dyDescent="0.55000000000000004">
      <c r="F28" s="62" t="s">
        <v>106</v>
      </c>
      <c r="G28" s="51">
        <v>5.2220820036535463E-2</v>
      </c>
      <c r="H28" s="110">
        <v>5.2946268652202685E-2</v>
      </c>
      <c r="I28" s="51">
        <v>5.4397198045851539E-2</v>
      </c>
      <c r="J28"/>
      <c r="K28"/>
      <c r="L28"/>
      <c r="M28" s="62" t="s">
        <v>103</v>
      </c>
      <c r="N28" s="65">
        <v>11.96250628026308</v>
      </c>
      <c r="O28" s="65">
        <v>12.34652722432249</v>
      </c>
      <c r="P28" s="65">
        <v>13.114569112441313</v>
      </c>
      <c r="Q28" s="65">
        <v>0.50689467132460564</v>
      </c>
      <c r="R28" s="65">
        <v>0.53786780380959187</v>
      </c>
      <c r="S28" s="65">
        <v>0.59981406877956478</v>
      </c>
      <c r="T28" s="65">
        <v>12.469400951587685</v>
      </c>
      <c r="U28" s="65">
        <v>12.884395028132081</v>
      </c>
      <c r="V28" s="65">
        <v>13.714383181220878</v>
      </c>
      <c r="W28" s="62" t="s">
        <v>103</v>
      </c>
      <c r="X28" s="65">
        <v>80.819799400245785</v>
      </c>
      <c r="Y28" s="65">
        <v>84.630461113621919</v>
      </c>
      <c r="Z28" s="65">
        <v>92.251784540374189</v>
      </c>
      <c r="AA28" s="65">
        <v>0.45689756387341562</v>
      </c>
      <c r="AB28" s="65">
        <v>0.48481568883799331</v>
      </c>
      <c r="AC28" s="65">
        <v>0.54065193876714857</v>
      </c>
      <c r="AD28" s="65">
        <v>81.276696964119196</v>
      </c>
      <c r="AE28" s="65">
        <v>85.115276802459917</v>
      </c>
      <c r="AF28" s="65">
        <v>92.792436479141344</v>
      </c>
      <c r="AG28" s="62" t="s">
        <v>103</v>
      </c>
      <c r="AH28" s="65">
        <v>6.6887044154597648</v>
      </c>
      <c r="AI28" s="65">
        <v>7.0265995341231662</v>
      </c>
      <c r="AJ28" s="65">
        <v>7.7023897714499689</v>
      </c>
      <c r="AK28" s="65">
        <v>3.4394984923287353E-2</v>
      </c>
      <c r="AL28" s="65">
        <v>3.6496645258489169E-2</v>
      </c>
      <c r="AM28" s="65">
        <v>4.0699965928892821E-2</v>
      </c>
      <c r="AN28" s="65">
        <v>6.7230994003830524</v>
      </c>
      <c r="AO28" s="65">
        <v>7.0630961793816551</v>
      </c>
      <c r="AP28" s="65">
        <v>7.7430897373788614</v>
      </c>
      <c r="AQ28" s="62" t="s">
        <v>103</v>
      </c>
      <c r="AR28" s="65">
        <v>188.30304969085984</v>
      </c>
      <c r="AS28" s="65">
        <v>191.5436677382192</v>
      </c>
      <c r="AT28" s="65">
        <v>198.02490383293798</v>
      </c>
      <c r="AU28" s="65">
        <v>3.1626371515980001</v>
      </c>
      <c r="AV28" s="65">
        <v>3.3558859368779999</v>
      </c>
      <c r="AW28" s="65">
        <v>3.7423835074379994</v>
      </c>
      <c r="AX28" s="65">
        <v>191.46568684245784</v>
      </c>
      <c r="AY28" s="65">
        <v>194.8995536750972</v>
      </c>
      <c r="AZ28" s="65">
        <v>201.76728734037599</v>
      </c>
    </row>
    <row r="29" spans="1:52" x14ac:dyDescent="0.55000000000000004">
      <c r="A29" s="59" t="s">
        <v>107</v>
      </c>
      <c r="B29" s="51" t="s">
        <v>108</v>
      </c>
      <c r="F29" s="62" t="s">
        <v>109</v>
      </c>
      <c r="G29" s="51">
        <v>4.8723423930314272E-2</v>
      </c>
      <c r="H29" s="110">
        <v>4.9448872545981508E-2</v>
      </c>
      <c r="I29" s="51">
        <v>5.0899801939630347E-2</v>
      </c>
      <c r="J29"/>
      <c r="K29"/>
      <c r="L29"/>
      <c r="M29" s="62" t="s">
        <v>105</v>
      </c>
      <c r="N29" s="65">
        <v>26.491110673417069</v>
      </c>
      <c r="O29" s="65">
        <v>32.149580682448438</v>
      </c>
      <c r="P29" s="65">
        <v>43.466520700511168</v>
      </c>
      <c r="Q29" s="65">
        <v>5.8953486043610992</v>
      </c>
      <c r="R29" s="65">
        <v>5.9537136008874949</v>
      </c>
      <c r="S29" s="65">
        <v>6.0704435939402881</v>
      </c>
      <c r="T29" s="65">
        <v>32.386459277778165</v>
      </c>
      <c r="U29" s="65">
        <v>38.103294283335934</v>
      </c>
      <c r="V29" s="65">
        <v>49.536964294451458</v>
      </c>
      <c r="W29" s="62" t="s">
        <v>105</v>
      </c>
      <c r="X29" s="65">
        <v>665.57733845489201</v>
      </c>
      <c r="Y29" s="65">
        <v>674.98239904178615</v>
      </c>
      <c r="Z29" s="65">
        <v>693.79252021557454</v>
      </c>
      <c r="AA29" s="65">
        <v>5.3138661104452938</v>
      </c>
      <c r="AB29" s="65">
        <v>5.3664743271754194</v>
      </c>
      <c r="AC29" s="65">
        <v>5.4716907606356715</v>
      </c>
      <c r="AD29" s="65">
        <v>670.89120456533726</v>
      </c>
      <c r="AE29" s="65">
        <v>680.34887336896156</v>
      </c>
      <c r="AF29" s="65">
        <v>699.26421097621017</v>
      </c>
      <c r="AG29" s="62" t="s">
        <v>105</v>
      </c>
      <c r="AH29" s="65">
        <v>58.156897421717815</v>
      </c>
      <c r="AI29" s="65">
        <v>62.021222192478902</v>
      </c>
      <c r="AJ29" s="65">
        <v>69.749871734001076</v>
      </c>
      <c r="AK29" s="65">
        <v>0.40002477405147713</v>
      </c>
      <c r="AL29" s="65">
        <v>0.40398509024562307</v>
      </c>
      <c r="AM29" s="65">
        <v>0.41190572263391495</v>
      </c>
      <c r="AN29" s="65">
        <v>58.556922195769289</v>
      </c>
      <c r="AO29" s="65">
        <v>62.425207282724529</v>
      </c>
      <c r="AP29" s="65">
        <v>70.161777456634994</v>
      </c>
      <c r="AQ29" s="62" t="s">
        <v>105</v>
      </c>
      <c r="AR29" s="65">
        <v>387.54805384825426</v>
      </c>
      <c r="AS29" s="65">
        <v>483.82934098563629</v>
      </c>
      <c r="AT29" s="65">
        <v>676.39191526040008</v>
      </c>
      <c r="AU29" s="65">
        <v>36.782490668232001</v>
      </c>
      <c r="AV29" s="65">
        <v>37.146643847994</v>
      </c>
      <c r="AW29" s="65">
        <v>37.874950207517998</v>
      </c>
      <c r="AX29" s="65">
        <v>424.33054451648627</v>
      </c>
      <c r="AY29" s="65">
        <v>520.97598483363026</v>
      </c>
      <c r="AZ29" s="65">
        <v>714.26686546791802</v>
      </c>
    </row>
    <row r="30" spans="1:52" x14ac:dyDescent="0.55000000000000004">
      <c r="F30" s="60" t="s">
        <v>110</v>
      </c>
      <c r="G30" s="149"/>
      <c r="H30" s="150"/>
      <c r="I30" s="149"/>
      <c r="J30"/>
      <c r="K30"/>
      <c r="L30"/>
      <c r="M30" s="62" t="s">
        <v>106</v>
      </c>
      <c r="N30" s="65">
        <v>127.57322852103923</v>
      </c>
      <c r="O30" s="65">
        <v>129.40441555856933</v>
      </c>
      <c r="P30" s="65">
        <v>133.06678963362955</v>
      </c>
      <c r="Q30" s="65">
        <v>7.1700865881963196</v>
      </c>
      <c r="R30" s="65">
        <v>7.1878961393751863</v>
      </c>
      <c r="S30" s="65">
        <v>7.2237088238109521</v>
      </c>
      <c r="T30" s="65">
        <v>134.74331510923554</v>
      </c>
      <c r="U30" s="65">
        <v>136.59231169794452</v>
      </c>
      <c r="V30" s="65">
        <v>140.29049845744049</v>
      </c>
      <c r="W30" s="62" t="s">
        <v>106</v>
      </c>
      <c r="X30" s="51">
        <v>868.91308849651136</v>
      </c>
      <c r="Y30" s="51">
        <v>872.47814982508214</v>
      </c>
      <c r="Z30" s="51">
        <v>879.60827248222381</v>
      </c>
      <c r="AA30" s="51">
        <v>6.4628714410186916</v>
      </c>
      <c r="AB30" s="51">
        <v>6.4789243628733235</v>
      </c>
      <c r="AC30" s="51">
        <v>6.5112046948636166</v>
      </c>
      <c r="AD30" s="51">
        <v>875.37595993753007</v>
      </c>
      <c r="AE30" s="51">
        <v>878.95707418795541</v>
      </c>
      <c r="AF30" s="51">
        <v>886.11947717708745</v>
      </c>
      <c r="AG30" s="62" t="s">
        <v>106</v>
      </c>
      <c r="AH30" s="65">
        <v>60.073392774350665</v>
      </c>
      <c r="AI30" s="65">
        <v>62.07822557673795</v>
      </c>
      <c r="AJ30" s="65">
        <v>66.087891181512532</v>
      </c>
      <c r="AK30" s="65">
        <v>0.48652123222212723</v>
      </c>
      <c r="AL30" s="65">
        <v>0.48772968691486829</v>
      </c>
      <c r="AM30" s="65">
        <v>0.49015973167744542</v>
      </c>
      <c r="AN30" s="65">
        <v>60.559914006572789</v>
      </c>
      <c r="AO30" s="65">
        <v>62.565955263652818</v>
      </c>
      <c r="AP30" s="65">
        <v>66.578050913189983</v>
      </c>
      <c r="AQ30" s="62" t="s">
        <v>106</v>
      </c>
      <c r="AR30" s="65">
        <v>1444.4206823584591</v>
      </c>
      <c r="AS30" s="65">
        <v>1483.7784694149341</v>
      </c>
      <c r="AT30" s="65">
        <v>1562.4940435278836</v>
      </c>
      <c r="AU30" s="65">
        <v>44.735885987411997</v>
      </c>
      <c r="AV30" s="65">
        <v>44.847004038947993</v>
      </c>
      <c r="AW30" s="65">
        <v>45.070447946927999</v>
      </c>
      <c r="AX30" s="65">
        <v>1489.1565683458712</v>
      </c>
      <c r="AY30" s="65">
        <v>1528.625473453882</v>
      </c>
      <c r="AZ30" s="65">
        <v>1607.5644914748116</v>
      </c>
    </row>
    <row r="31" spans="1:52" x14ac:dyDescent="0.55000000000000004">
      <c r="A31" s="59" t="s">
        <v>43</v>
      </c>
      <c r="B31" s="51" t="s">
        <v>111</v>
      </c>
      <c r="C31" s="51" t="s">
        <v>112</v>
      </c>
      <c r="D31" s="51" t="s">
        <v>113</v>
      </c>
      <c r="F31" s="62" t="s">
        <v>114</v>
      </c>
      <c r="G31" s="149">
        <v>4.679779378177757E-2</v>
      </c>
      <c r="H31" s="150">
        <v>4.8040559009769487E-2</v>
      </c>
      <c r="I31" s="149">
        <v>5.0526089465753335E-2</v>
      </c>
      <c r="J31"/>
      <c r="K31"/>
      <c r="L31"/>
      <c r="M31" s="62" t="s">
        <v>109</v>
      </c>
      <c r="N31" s="65">
        <v>128.58704957853891</v>
      </c>
      <c r="O31" s="65">
        <v>130.41823661606901</v>
      </c>
      <c r="P31" s="65">
        <v>134.08061069112921</v>
      </c>
      <c r="Q31" s="65">
        <v>14.255190644136958</v>
      </c>
      <c r="R31" s="65">
        <v>14.273000195315825</v>
      </c>
      <c r="S31" s="65">
        <v>14.30881287975159</v>
      </c>
      <c r="T31" s="65">
        <v>142.84224022267585</v>
      </c>
      <c r="U31" s="65">
        <v>144.69123681138484</v>
      </c>
      <c r="V31" s="65">
        <v>148.38942357088081</v>
      </c>
      <c r="W31" s="62" t="s">
        <v>109</v>
      </c>
      <c r="X31" s="51">
        <v>707.41533458792321</v>
      </c>
      <c r="Y31" s="51">
        <v>710.98039591649399</v>
      </c>
      <c r="Z31" s="51">
        <v>718.11051857363566</v>
      </c>
      <c r="AA31" s="51">
        <v>12.849142526665823</v>
      </c>
      <c r="AB31" s="51">
        <v>12.865195448520454</v>
      </c>
      <c r="AC31" s="51">
        <v>12.897475780510748</v>
      </c>
      <c r="AD31" s="51">
        <v>720.264477114589</v>
      </c>
      <c r="AE31" s="51">
        <v>723.84559136501446</v>
      </c>
      <c r="AF31" s="51">
        <v>731.00799435414638</v>
      </c>
      <c r="AG31" s="62" t="s">
        <v>109</v>
      </c>
      <c r="AH31" s="65">
        <v>61.353542178473525</v>
      </c>
      <c r="AI31" s="65">
        <v>63.358374980860809</v>
      </c>
      <c r="AJ31" s="65">
        <v>67.368040585635384</v>
      </c>
      <c r="AK31" s="65">
        <v>0.96727603389954442</v>
      </c>
      <c r="AL31" s="65">
        <v>0.96848448859228542</v>
      </c>
      <c r="AM31" s="65">
        <v>0.97091453335486255</v>
      </c>
      <c r="AN31" s="65">
        <v>62.320818212373069</v>
      </c>
      <c r="AO31" s="65">
        <v>64.326859469453098</v>
      </c>
      <c r="AP31" s="65">
        <v>68.338955118990242</v>
      </c>
      <c r="AQ31" s="62" t="s">
        <v>109</v>
      </c>
      <c r="AR31" s="65">
        <v>1380.6199936884166</v>
      </c>
      <c r="AS31" s="65">
        <v>1419.9777807448913</v>
      </c>
      <c r="AT31" s="65">
        <v>1498.6933548578411</v>
      </c>
      <c r="AU31" s="65">
        <v>88.941545620211997</v>
      </c>
      <c r="AV31" s="65">
        <v>89.052663671747993</v>
      </c>
      <c r="AW31" s="65">
        <v>89.276107579727991</v>
      </c>
      <c r="AX31" s="65">
        <v>1469.5615393086287</v>
      </c>
      <c r="AY31" s="65">
        <v>1509.0304444166393</v>
      </c>
      <c r="AZ31" s="65">
        <v>1587.9694624375691</v>
      </c>
    </row>
    <row r="32" spans="1:52" x14ac:dyDescent="0.55000000000000004">
      <c r="A32" s="60" t="s">
        <v>53</v>
      </c>
      <c r="B32" s="61"/>
      <c r="C32" s="61"/>
      <c r="D32" s="61"/>
      <c r="E32" s="61"/>
      <c r="F32" s="62" t="s">
        <v>115</v>
      </c>
      <c r="G32" s="149">
        <v>1.2642070725436837E-2</v>
      </c>
      <c r="H32" s="150">
        <v>1.4445803915809364E-2</v>
      </c>
      <c r="I32" s="149">
        <v>1.8053270296554413E-2</v>
      </c>
      <c r="J32"/>
      <c r="K32"/>
      <c r="L32"/>
      <c r="M32" s="60" t="s">
        <v>110</v>
      </c>
      <c r="N32" s="65"/>
      <c r="O32" s="65"/>
      <c r="P32" s="65"/>
      <c r="Q32" s="65"/>
      <c r="R32" s="65"/>
      <c r="S32" s="65"/>
      <c r="T32" s="65"/>
      <c r="U32" s="65"/>
      <c r="V32" s="65"/>
      <c r="W32" s="60" t="s">
        <v>110</v>
      </c>
      <c r="AG32" s="60" t="s">
        <v>110</v>
      </c>
      <c r="AH32" s="65"/>
      <c r="AI32" s="65"/>
      <c r="AJ32" s="65"/>
      <c r="AK32" s="65"/>
      <c r="AL32" s="65"/>
      <c r="AM32" s="65"/>
      <c r="AN32" s="65"/>
      <c r="AO32" s="65"/>
      <c r="AP32" s="65"/>
      <c r="AQ32" s="60" t="s">
        <v>110</v>
      </c>
      <c r="AR32" s="65"/>
      <c r="AS32" s="65"/>
      <c r="AT32" s="65"/>
      <c r="AU32" s="65"/>
      <c r="AV32" s="65"/>
      <c r="AW32" s="65"/>
      <c r="AX32" s="65"/>
      <c r="AY32" s="65"/>
      <c r="AZ32" s="65"/>
    </row>
    <row r="33" spans="1:52" x14ac:dyDescent="0.55000000000000004">
      <c r="A33" s="62" t="s">
        <v>71</v>
      </c>
      <c r="B33" s="61">
        <v>1448.36</v>
      </c>
      <c r="C33" s="61">
        <v>1449.6399999999999</v>
      </c>
      <c r="D33" s="61">
        <v>1452.2</v>
      </c>
      <c r="E33" s="61"/>
      <c r="F33" s="62" t="s">
        <v>116</v>
      </c>
      <c r="G33" s="149">
        <v>1.7656836509892904E-2</v>
      </c>
      <c r="H33" s="150">
        <v>1.8382301206717327E-2</v>
      </c>
      <c r="I33" s="149">
        <v>1.983323060036617E-2</v>
      </c>
      <c r="J33"/>
      <c r="K33"/>
      <c r="L33"/>
      <c r="M33" s="62" t="s">
        <v>114</v>
      </c>
      <c r="N33" s="65">
        <v>126.3751819657832</v>
      </c>
      <c r="O33" s="65">
        <v>130.04810724677316</v>
      </c>
      <c r="P33" s="65">
        <v>137.39395780875304</v>
      </c>
      <c r="Q33" s="65">
        <v>5.989816658440307</v>
      </c>
      <c r="R33" s="65">
        <v>5.9994957623418657</v>
      </c>
      <c r="S33" s="65">
        <v>6.0188539701449821</v>
      </c>
      <c r="T33" s="65">
        <v>132.36499862422352</v>
      </c>
      <c r="U33" s="65">
        <v>136.04760300911502</v>
      </c>
      <c r="V33" s="65">
        <v>143.41281177889803</v>
      </c>
      <c r="W33" s="62" t="s">
        <v>114</v>
      </c>
      <c r="X33" s="65">
        <v>752.71280074378058</v>
      </c>
      <c r="Y33" s="65">
        <v>754.81314322920616</v>
      </c>
      <c r="Z33" s="65">
        <v>759.01382820005745</v>
      </c>
      <c r="AA33" s="65">
        <v>5.3990163915872547</v>
      </c>
      <c r="AB33" s="65">
        <v>5.4077408056386851</v>
      </c>
      <c r="AC33" s="65">
        <v>5.4251896337415459</v>
      </c>
      <c r="AD33" s="65">
        <v>758.1118171353678</v>
      </c>
      <c r="AE33" s="65">
        <v>760.22088403484486</v>
      </c>
      <c r="AF33" s="65">
        <v>764.43901783379897</v>
      </c>
      <c r="AG33" s="62" t="s">
        <v>114</v>
      </c>
      <c r="AH33" s="65">
        <v>50.649294364447243</v>
      </c>
      <c r="AI33" s="65">
        <v>53.297074259162017</v>
      </c>
      <c r="AJ33" s="65">
        <v>58.592634048591549</v>
      </c>
      <c r="AK33" s="65">
        <v>0.40643483807384273</v>
      </c>
      <c r="AL33" s="65">
        <v>0.40709160692859325</v>
      </c>
      <c r="AM33" s="65">
        <v>0.40840514463809441</v>
      </c>
      <c r="AN33" s="65">
        <v>51.055729202521086</v>
      </c>
      <c r="AO33" s="65">
        <v>53.704165866090612</v>
      </c>
      <c r="AP33" s="65">
        <v>59.001039193229644</v>
      </c>
      <c r="AQ33" s="62" t="s">
        <v>114</v>
      </c>
      <c r="AR33" s="65">
        <v>1290.2464095764772</v>
      </c>
      <c r="AS33" s="65">
        <v>1376.4631621334522</v>
      </c>
      <c r="AT33" s="65">
        <v>1548.8966672474025</v>
      </c>
      <c r="AU33" s="65">
        <v>37.371899463335993</v>
      </c>
      <c r="AV33" s="65">
        <v>37.432289708735993</v>
      </c>
      <c r="AW33" s="65">
        <v>37.553070199535995</v>
      </c>
      <c r="AX33" s="65">
        <v>1327.6183090398131</v>
      </c>
      <c r="AY33" s="65">
        <v>1413.8954518421883</v>
      </c>
      <c r="AZ33" s="65">
        <v>1586.4497374469386</v>
      </c>
    </row>
    <row r="34" spans="1:52" x14ac:dyDescent="0.55000000000000004">
      <c r="A34" s="62" t="s">
        <v>86</v>
      </c>
      <c r="B34" s="61">
        <v>1464.36</v>
      </c>
      <c r="C34" s="61">
        <v>1465.6399999999999</v>
      </c>
      <c r="D34" s="61">
        <v>1468.2</v>
      </c>
      <c r="E34" s="61"/>
      <c r="F34" s="60" t="s">
        <v>117</v>
      </c>
      <c r="G34" s="149"/>
      <c r="H34" s="150"/>
      <c r="I34" s="149"/>
      <c r="J34"/>
      <c r="K34"/>
      <c r="L34"/>
      <c r="M34" s="62" t="s">
        <v>115</v>
      </c>
      <c r="N34" s="65">
        <v>38.062510548257585</v>
      </c>
      <c r="O34" s="65">
        <v>43.27360428510918</v>
      </c>
      <c r="P34" s="65">
        <v>53.695791758812376</v>
      </c>
      <c r="Q34" s="65">
        <v>0.35841721747470201</v>
      </c>
      <c r="R34" s="65">
        <v>0.37080647046869653</v>
      </c>
      <c r="S34" s="65">
        <v>0.39558497645668567</v>
      </c>
      <c r="T34" s="65">
        <v>38.420927765732287</v>
      </c>
      <c r="U34" s="65">
        <v>43.644410755577873</v>
      </c>
      <c r="V34" s="65">
        <v>54.091376735269066</v>
      </c>
      <c r="W34" s="62" t="s">
        <v>115</v>
      </c>
      <c r="X34" s="65">
        <v>84.016247842043583</v>
      </c>
      <c r="Y34" s="65">
        <v>87.420695695550606</v>
      </c>
      <c r="Z34" s="65">
        <v>94.229591402564637</v>
      </c>
      <c r="AA34" s="65">
        <v>0.32306505232447169</v>
      </c>
      <c r="AB34" s="65">
        <v>0.33423230231030271</v>
      </c>
      <c r="AC34" s="65">
        <v>0.3565668022819648</v>
      </c>
      <c r="AD34" s="65">
        <v>84.339312894368049</v>
      </c>
      <c r="AE34" s="65">
        <v>87.754927997860904</v>
      </c>
      <c r="AF34" s="65">
        <v>94.586158204846598</v>
      </c>
      <c r="AG34" s="62" t="s">
        <v>115</v>
      </c>
      <c r="AH34" s="65">
        <v>23.063265653209257</v>
      </c>
      <c r="AI34" s="65">
        <v>27.27469732676753</v>
      </c>
      <c r="AJ34" s="65">
        <v>35.697560673884077</v>
      </c>
      <c r="AK34" s="65">
        <v>2.4320150691413606E-2</v>
      </c>
      <c r="AL34" s="65">
        <v>2.5160814825494336E-2</v>
      </c>
      <c r="AM34" s="65">
        <v>2.6842143093655797E-2</v>
      </c>
      <c r="AN34" s="65">
        <v>23.087585803900669</v>
      </c>
      <c r="AO34" s="65">
        <v>27.299858141593024</v>
      </c>
      <c r="AP34" s="65">
        <v>35.724402816977729</v>
      </c>
      <c r="AQ34" s="62" t="s">
        <v>115</v>
      </c>
      <c r="AR34" s="65">
        <v>669.60542804309569</v>
      </c>
      <c r="AS34" s="65">
        <v>790.36790076737293</v>
      </c>
      <c r="AT34" s="65">
        <v>1031.8928462159274</v>
      </c>
      <c r="AU34" s="65">
        <v>2.2362507871619997</v>
      </c>
      <c r="AV34" s="65">
        <v>2.3135503012739997</v>
      </c>
      <c r="AW34" s="65">
        <v>2.4681493294979995</v>
      </c>
      <c r="AX34" s="65">
        <v>671.84167883025771</v>
      </c>
      <c r="AY34" s="65">
        <v>792.68145106864688</v>
      </c>
      <c r="AZ34" s="65">
        <v>1034.3609955454253</v>
      </c>
    </row>
    <row r="35" spans="1:52" x14ac:dyDescent="0.55000000000000004">
      <c r="A35" s="60" t="s">
        <v>87</v>
      </c>
      <c r="B35" s="61"/>
      <c r="C35" s="61"/>
      <c r="D35" s="61"/>
      <c r="E35" s="61"/>
      <c r="F35" s="62" t="s">
        <v>118</v>
      </c>
      <c r="G35" s="149">
        <v>6.837042785817541E-3</v>
      </c>
      <c r="H35" s="150">
        <v>7.5383119251168258E-3</v>
      </c>
      <c r="I35" s="149">
        <v>8.9408823660297697E-3</v>
      </c>
      <c r="J35"/>
      <c r="K35"/>
      <c r="L35"/>
      <c r="M35" s="62" t="s">
        <v>116</v>
      </c>
      <c r="N35" s="65">
        <v>47.997546342790002</v>
      </c>
      <c r="O35" s="65">
        <v>49.828733380320109</v>
      </c>
      <c r="P35" s="65">
        <v>53.491107455380323</v>
      </c>
      <c r="Q35" s="65">
        <v>1.9547918239587041</v>
      </c>
      <c r="R35" s="65">
        <v>1.972698166176587</v>
      </c>
      <c r="S35" s="65">
        <v>2.0085108506123523</v>
      </c>
      <c r="T35" s="65">
        <v>49.952338166748703</v>
      </c>
      <c r="U35" s="65">
        <v>51.801431546496694</v>
      </c>
      <c r="V35" s="65">
        <v>55.499618305992676</v>
      </c>
      <c r="W35" s="62" t="s">
        <v>116</v>
      </c>
      <c r="X35" s="65">
        <v>298.11603397120683</v>
      </c>
      <c r="Y35" s="65">
        <v>301.68109529977761</v>
      </c>
      <c r="Z35" s="65">
        <v>308.81121795691922</v>
      </c>
      <c r="AA35" s="65">
        <v>1.7619826618269054</v>
      </c>
      <c r="AB35" s="65">
        <v>1.7781228278220518</v>
      </c>
      <c r="AC35" s="65">
        <v>1.8104031598123447</v>
      </c>
      <c r="AD35" s="65">
        <v>299.87801663303372</v>
      </c>
      <c r="AE35" s="65">
        <v>303.45921812759968</v>
      </c>
      <c r="AF35" s="65">
        <v>310.62162111673155</v>
      </c>
      <c r="AG35" s="62" t="s">
        <v>116</v>
      </c>
      <c r="AH35" s="65">
        <v>11.937857356131026</v>
      </c>
      <c r="AI35" s="65">
        <v>13.942690158518314</v>
      </c>
      <c r="AJ35" s="65">
        <v>17.952355763292882</v>
      </c>
      <c r="AK35" s="65">
        <v>0.13264103790542511</v>
      </c>
      <c r="AL35" s="65">
        <v>0.13385606028671365</v>
      </c>
      <c r="AM35" s="65">
        <v>0.13628610504929078</v>
      </c>
      <c r="AN35" s="65">
        <v>12.070498394036452</v>
      </c>
      <c r="AO35" s="65">
        <v>14.076546218805028</v>
      </c>
      <c r="AP35" s="65">
        <v>18.088641868342172</v>
      </c>
      <c r="AQ35" s="62" t="s">
        <v>116</v>
      </c>
      <c r="AR35" s="65">
        <v>524.62378761809316</v>
      </c>
      <c r="AS35" s="65">
        <v>563.98157467456804</v>
      </c>
      <c r="AT35" s="65">
        <v>642.69714878751779</v>
      </c>
      <c r="AU35" s="65">
        <v>12.196413960983998</v>
      </c>
      <c r="AV35" s="65">
        <v>12.308135914973997</v>
      </c>
      <c r="AW35" s="65">
        <v>12.531579822953997</v>
      </c>
      <c r="AX35" s="65">
        <v>536.82020157907721</v>
      </c>
      <c r="AY35" s="65">
        <v>576.28971058954198</v>
      </c>
      <c r="AZ35" s="65">
        <v>655.22872861047176</v>
      </c>
    </row>
    <row r="36" spans="1:52" x14ac:dyDescent="0.55000000000000004">
      <c r="A36" s="62" t="s">
        <v>89</v>
      </c>
      <c r="B36" s="61">
        <v>37</v>
      </c>
      <c r="C36" s="61">
        <v>37</v>
      </c>
      <c r="D36" s="61">
        <v>37</v>
      </c>
      <c r="E36" s="61"/>
      <c r="F36" s="62" t="s">
        <v>119</v>
      </c>
      <c r="G36" s="149">
        <v>4.3097240562201711E-2</v>
      </c>
      <c r="H36" s="150">
        <v>4.4839496330818449E-2</v>
      </c>
      <c r="I36" s="149">
        <v>4.8324007868051931E-2</v>
      </c>
      <c r="J36"/>
      <c r="K36"/>
      <c r="L36"/>
      <c r="M36" s="60" t="s">
        <v>117</v>
      </c>
      <c r="N36" s="65"/>
      <c r="O36" s="65"/>
      <c r="P36" s="65"/>
      <c r="Q36" s="65"/>
      <c r="R36" s="65"/>
      <c r="S36" s="65"/>
      <c r="T36" s="65"/>
      <c r="U36" s="65"/>
      <c r="V36" s="65"/>
      <c r="W36" s="60" t="s">
        <v>117</v>
      </c>
      <c r="AG36" s="60" t="s">
        <v>117</v>
      </c>
      <c r="AH36" s="65"/>
      <c r="AI36" s="65"/>
      <c r="AJ36" s="65"/>
      <c r="AK36" s="65"/>
      <c r="AL36" s="65"/>
      <c r="AM36" s="65"/>
      <c r="AN36" s="65"/>
      <c r="AO36" s="65"/>
      <c r="AP36" s="65"/>
      <c r="AQ36" s="60" t="s">
        <v>117</v>
      </c>
      <c r="AR36" s="65"/>
      <c r="AS36" s="65"/>
      <c r="AT36" s="65"/>
      <c r="AU36" s="65"/>
      <c r="AV36" s="65"/>
      <c r="AW36" s="65"/>
      <c r="AX36" s="65"/>
      <c r="AY36" s="65"/>
      <c r="AZ36" s="65"/>
    </row>
    <row r="37" spans="1:52" x14ac:dyDescent="0.55000000000000004">
      <c r="A37" s="62" t="s">
        <v>90</v>
      </c>
      <c r="B37" s="61">
        <v>368.25</v>
      </c>
      <c r="C37" s="61">
        <v>369.25</v>
      </c>
      <c r="D37" s="61">
        <v>371.25</v>
      </c>
      <c r="E37" s="61"/>
      <c r="F37" s="60" t="s">
        <v>120</v>
      </c>
      <c r="J37"/>
      <c r="K37"/>
      <c r="L37"/>
      <c r="M37" s="62" t="s">
        <v>118</v>
      </c>
      <c r="N37" s="65">
        <v>20.913448625305236</v>
      </c>
      <c r="O37" s="65">
        <v>22.683596094917675</v>
      </c>
      <c r="P37" s="65">
        <v>26.223891034142547</v>
      </c>
      <c r="Q37" s="65">
        <v>0.49344071690143954</v>
      </c>
      <c r="R37" s="65">
        <v>0.51066952184621317</v>
      </c>
      <c r="S37" s="65">
        <v>0.54532071381379177</v>
      </c>
      <c r="T37" s="65">
        <v>21.406889342206675</v>
      </c>
      <c r="U37" s="65">
        <v>23.194265616763889</v>
      </c>
      <c r="V37" s="65">
        <v>26.769211747956337</v>
      </c>
      <c r="W37" s="62" t="s">
        <v>118</v>
      </c>
      <c r="X37" s="65">
        <v>81.333968804673958</v>
      </c>
      <c r="Y37" s="65">
        <v>84.780194755625729</v>
      </c>
      <c r="Z37" s="65">
        <v>91.672646657529285</v>
      </c>
      <c r="AA37" s="65">
        <v>0.44477062834192727</v>
      </c>
      <c r="AB37" s="65">
        <v>0.46030008535347355</v>
      </c>
      <c r="AC37" s="65">
        <v>0.49153348765759475</v>
      </c>
      <c r="AD37" s="65">
        <v>81.778739433015886</v>
      </c>
      <c r="AE37" s="65">
        <v>85.240494840979196</v>
      </c>
      <c r="AF37" s="65">
        <v>92.164180145186876</v>
      </c>
      <c r="AG37" s="62" t="s">
        <v>118</v>
      </c>
      <c r="AH37" s="65">
        <v>6.1572759956251586</v>
      </c>
      <c r="AI37" s="65">
        <v>8.0952810379328675</v>
      </c>
      <c r="AJ37" s="65">
        <v>11.971291122548289</v>
      </c>
      <c r="AK37" s="65">
        <v>3.3482076215184058E-2</v>
      </c>
      <c r="AL37" s="65">
        <v>3.465112477664007E-2</v>
      </c>
      <c r="AM37" s="65">
        <v>3.7002357276647108E-2</v>
      </c>
      <c r="AN37" s="65">
        <v>6.1907580718403423</v>
      </c>
      <c r="AO37" s="65">
        <v>8.1299321627095082</v>
      </c>
      <c r="AP37" s="65">
        <v>12.008293479824935</v>
      </c>
      <c r="AQ37" s="62" t="s">
        <v>118</v>
      </c>
      <c r="AR37" s="65">
        <v>291.49470098168257</v>
      </c>
      <c r="AS37" s="65">
        <v>329.54056180294157</v>
      </c>
      <c r="AT37" s="65">
        <v>405.63228344545962</v>
      </c>
      <c r="AU37" s="65">
        <v>3.0786947104919999</v>
      </c>
      <c r="AV37" s="65">
        <v>3.1861893473039999</v>
      </c>
      <c r="AW37" s="65">
        <v>3.4023864258359997</v>
      </c>
      <c r="AX37" s="65">
        <v>294.57339569217459</v>
      </c>
      <c r="AY37" s="65">
        <v>332.72675115024555</v>
      </c>
      <c r="AZ37" s="65">
        <v>409.03466987129565</v>
      </c>
    </row>
    <row r="38" spans="1:52" x14ac:dyDescent="0.55000000000000004">
      <c r="A38" s="62" t="s">
        <v>93</v>
      </c>
      <c r="B38" s="61">
        <v>270.88</v>
      </c>
      <c r="C38" s="61">
        <v>272.39999999999998</v>
      </c>
      <c r="D38" s="61">
        <v>275.44</v>
      </c>
      <c r="E38" s="61"/>
      <c r="F38" s="62" t="s">
        <v>121</v>
      </c>
      <c r="G38" s="51">
        <v>4.6568647795491809E-2</v>
      </c>
      <c r="H38" s="110">
        <v>4.6568647795491809E-2</v>
      </c>
      <c r="I38" s="51">
        <v>4.6568647795491809E-2</v>
      </c>
      <c r="J38"/>
      <c r="K38"/>
      <c r="L38"/>
      <c r="M38" s="62" t="s">
        <v>119</v>
      </c>
      <c r="N38" s="65">
        <v>94.603602806263638</v>
      </c>
      <c r="O38" s="65">
        <v>98.354232231703634</v>
      </c>
      <c r="P38" s="65">
        <v>105.85549108258363</v>
      </c>
      <c r="Q38" s="65">
        <v>5.4685969133413961</v>
      </c>
      <c r="R38" s="65">
        <v>5.4802118380232656</v>
      </c>
      <c r="S38" s="65">
        <v>5.5034416873870056</v>
      </c>
      <c r="T38" s="65">
        <v>100.07219971960504</v>
      </c>
      <c r="U38" s="65">
        <v>103.8344440697269</v>
      </c>
      <c r="V38" s="65">
        <v>111.35893276997064</v>
      </c>
      <c r="W38" s="62" t="s">
        <v>119</v>
      </c>
      <c r="X38" s="65">
        <v>659.02027650021591</v>
      </c>
      <c r="Y38" s="65">
        <v>666.7590549000563</v>
      </c>
      <c r="Z38" s="65">
        <v>682.23661169973718</v>
      </c>
      <c r="AA38" s="65">
        <v>4.9292066949177222</v>
      </c>
      <c r="AB38" s="65">
        <v>4.9396759917794384</v>
      </c>
      <c r="AC38" s="65">
        <v>4.9606145855028725</v>
      </c>
      <c r="AD38" s="65">
        <v>663.94948319513367</v>
      </c>
      <c r="AE38" s="65">
        <v>671.69873089183579</v>
      </c>
      <c r="AF38" s="65">
        <v>687.19722628524005</v>
      </c>
      <c r="AG38" s="62" t="s">
        <v>119</v>
      </c>
      <c r="AH38" s="65">
        <v>59.432493113166885</v>
      </c>
      <c r="AI38" s="65">
        <v>65.827684423470814</v>
      </c>
      <c r="AJ38" s="65">
        <v>78.618067044078643</v>
      </c>
      <c r="AK38" s="65">
        <v>0.37106783524552456</v>
      </c>
      <c r="AL38" s="65">
        <v>0.37185595787122516</v>
      </c>
      <c r="AM38" s="65">
        <v>0.37343220312262659</v>
      </c>
      <c r="AN38" s="65">
        <v>59.803560948412411</v>
      </c>
      <c r="AO38" s="65">
        <v>66.199540381342032</v>
      </c>
      <c r="AP38" s="65">
        <v>78.991499247201276</v>
      </c>
      <c r="AQ38" s="62" t="s">
        <v>119</v>
      </c>
      <c r="AR38" s="65">
        <v>1439.3146920851091</v>
      </c>
      <c r="AS38" s="65">
        <v>1526.371747525109</v>
      </c>
      <c r="AT38" s="65">
        <v>1700.485858405109</v>
      </c>
      <c r="AU38" s="65">
        <v>34.119884748545999</v>
      </c>
      <c r="AV38" s="65">
        <v>34.192353043025996</v>
      </c>
      <c r="AW38" s="65">
        <v>34.337289631985996</v>
      </c>
      <c r="AX38" s="65">
        <v>1473.434576833655</v>
      </c>
      <c r="AY38" s="65">
        <v>1560.564100568135</v>
      </c>
      <c r="AZ38" s="65">
        <v>1734.8231480370951</v>
      </c>
    </row>
    <row r="39" spans="1:52" x14ac:dyDescent="0.55000000000000004">
      <c r="A39" s="62" t="s">
        <v>96</v>
      </c>
      <c r="B39" s="61">
        <v>382.15</v>
      </c>
      <c r="C39" s="61">
        <v>385.35</v>
      </c>
      <c r="D39" s="61">
        <v>391.75</v>
      </c>
      <c r="E39" s="61"/>
      <c r="F39" s="62" t="s">
        <v>122</v>
      </c>
      <c r="G39" s="51">
        <v>2.412173578110172E-4</v>
      </c>
      <c r="H39" s="110">
        <v>2.412173578110172E-4</v>
      </c>
      <c r="I39" s="51">
        <v>2.412173578110172E-4</v>
      </c>
      <c r="J39"/>
      <c r="K39"/>
      <c r="L39"/>
      <c r="M39" s="60" t="s">
        <v>120</v>
      </c>
      <c r="N39" s="65"/>
      <c r="O39" s="65"/>
      <c r="P39" s="65"/>
      <c r="Q39" s="65"/>
      <c r="R39" s="65"/>
      <c r="S39" s="65"/>
      <c r="T39" s="65"/>
      <c r="U39" s="65"/>
      <c r="V39" s="65"/>
      <c r="W39" s="60" t="s">
        <v>120</v>
      </c>
      <c r="AG39" s="60" t="s">
        <v>120</v>
      </c>
      <c r="AH39" s="65"/>
      <c r="AI39" s="65"/>
      <c r="AJ39" s="65"/>
      <c r="AK39" s="65"/>
      <c r="AL39" s="65"/>
      <c r="AM39" s="65"/>
      <c r="AN39" s="65"/>
      <c r="AO39" s="65"/>
      <c r="AP39" s="65"/>
      <c r="AQ39" s="60" t="s">
        <v>120</v>
      </c>
      <c r="AR39" s="65"/>
      <c r="AS39" s="65"/>
      <c r="AT39" s="65"/>
      <c r="AU39" s="65"/>
      <c r="AV39" s="65"/>
      <c r="AW39" s="65"/>
      <c r="AX39" s="65"/>
      <c r="AY39" s="65"/>
      <c r="AZ39" s="65"/>
    </row>
    <row r="40" spans="1:52" x14ac:dyDescent="0.55000000000000004">
      <c r="A40" s="62" t="s">
        <v>97</v>
      </c>
      <c r="B40" s="61">
        <v>157.44999999999999</v>
      </c>
      <c r="C40" s="61">
        <v>159.30000000000001</v>
      </c>
      <c r="D40" s="61">
        <v>163</v>
      </c>
      <c r="E40" s="61"/>
      <c r="F40" s="60" t="s">
        <v>123</v>
      </c>
      <c r="J40"/>
      <c r="K40"/>
      <c r="L40"/>
      <c r="M40" s="62" t="s">
        <v>121</v>
      </c>
      <c r="N40" s="65">
        <v>147.92889814445365</v>
      </c>
      <c r="O40" s="65">
        <v>147.92889814445365</v>
      </c>
      <c r="P40" s="65">
        <v>147.92889814445365</v>
      </c>
      <c r="Q40" s="65">
        <v>0.36296639630843436</v>
      </c>
      <c r="R40" s="65">
        <v>0.36296639630843436</v>
      </c>
      <c r="S40" s="65">
        <v>0.36296639630843436</v>
      </c>
      <c r="T40" s="65">
        <v>148.29186454076208</v>
      </c>
      <c r="U40" s="65">
        <v>148.29186454076208</v>
      </c>
      <c r="V40" s="65">
        <v>148.29186454076208</v>
      </c>
      <c r="W40" s="62" t="s">
        <v>121</v>
      </c>
      <c r="X40" s="51">
        <v>337.16441522880586</v>
      </c>
      <c r="Y40" s="51">
        <v>337.16441522880586</v>
      </c>
      <c r="Z40" s="51">
        <v>337.16441522880586</v>
      </c>
      <c r="AA40" s="51">
        <v>0.32716552692864403</v>
      </c>
      <c r="AB40" s="51">
        <v>0.32716552692864403</v>
      </c>
      <c r="AC40" s="51">
        <v>0.32716552692864403</v>
      </c>
      <c r="AD40" s="51">
        <v>337.4915807557345</v>
      </c>
      <c r="AE40" s="51">
        <v>337.4915807557345</v>
      </c>
      <c r="AF40" s="51">
        <v>337.4915807557345</v>
      </c>
      <c r="AG40" s="62" t="s">
        <v>121</v>
      </c>
      <c r="AH40" s="65">
        <v>86.198059095900007</v>
      </c>
      <c r="AI40" s="65">
        <v>86.198059095900007</v>
      </c>
      <c r="AJ40" s="65">
        <v>86.198059095900007</v>
      </c>
      <c r="AK40" s="65">
        <v>2.4628832053146373E-2</v>
      </c>
      <c r="AL40" s="65">
        <v>2.4628832053146373E-2</v>
      </c>
      <c r="AM40" s="65">
        <v>2.4628832053146373E-2</v>
      </c>
      <c r="AN40" s="65">
        <v>86.22268792795316</v>
      </c>
      <c r="AO40" s="65">
        <v>86.22268792795316</v>
      </c>
      <c r="AP40" s="65">
        <v>86.22268792795316</v>
      </c>
      <c r="AQ40" s="62" t="s">
        <v>121</v>
      </c>
      <c r="AR40" s="65">
        <v>2268.8821976397385</v>
      </c>
      <c r="AS40" s="65">
        <v>2268.8821976397385</v>
      </c>
      <c r="AT40" s="65">
        <v>2268.8821976397385</v>
      </c>
      <c r="AU40" s="65">
        <v>2.2646342024999999</v>
      </c>
      <c r="AV40" s="65">
        <v>2.2646342024999999</v>
      </c>
      <c r="AW40" s="65">
        <v>2.2646342024999999</v>
      </c>
      <c r="AX40" s="65">
        <v>2271.1468318422385</v>
      </c>
      <c r="AY40" s="65">
        <v>2271.1468318422385</v>
      </c>
      <c r="AZ40" s="65">
        <v>2271.1468318422385</v>
      </c>
    </row>
    <row r="41" spans="1:52" x14ac:dyDescent="0.55000000000000004">
      <c r="A41" s="62" t="s">
        <v>99</v>
      </c>
      <c r="B41" s="61">
        <v>236.57</v>
      </c>
      <c r="C41" s="61">
        <v>236.57</v>
      </c>
      <c r="D41" s="61">
        <v>236.57</v>
      </c>
      <c r="E41" s="61"/>
      <c r="F41" s="62" t="s">
        <v>124</v>
      </c>
      <c r="G41" s="51">
        <v>1.045803180300723E-2</v>
      </c>
      <c r="H41" s="110">
        <v>1.1183480418674464E-2</v>
      </c>
      <c r="I41" s="51">
        <v>1.2634409812323309E-2</v>
      </c>
      <c r="J41"/>
      <c r="K41"/>
      <c r="L41"/>
      <c r="M41" s="62" t="s">
        <v>122</v>
      </c>
      <c r="N41" s="65">
        <v>0</v>
      </c>
      <c r="O41" s="65">
        <v>0</v>
      </c>
      <c r="P41" s="65">
        <v>0</v>
      </c>
      <c r="Q41" s="65">
        <v>1.4518655852337374</v>
      </c>
      <c r="R41" s="65">
        <v>1.4518655852337374</v>
      </c>
      <c r="S41" s="65">
        <v>1.4518655852337374</v>
      </c>
      <c r="T41" s="65">
        <v>1.4518655852337374</v>
      </c>
      <c r="U41" s="65">
        <v>1.4518655852337374</v>
      </c>
      <c r="V41" s="65">
        <v>1.4518655852337374</v>
      </c>
      <c r="W41" s="62" t="s">
        <v>122</v>
      </c>
      <c r="X41" s="51">
        <v>0</v>
      </c>
      <c r="Y41" s="51">
        <v>0</v>
      </c>
      <c r="Z41" s="51">
        <v>0</v>
      </c>
      <c r="AA41" s="51">
        <v>1.3086621077145761</v>
      </c>
      <c r="AB41" s="51">
        <v>1.3086621077145761</v>
      </c>
      <c r="AC41" s="51">
        <v>1.3086621077145761</v>
      </c>
      <c r="AD41" s="51">
        <v>1.3086621077145761</v>
      </c>
      <c r="AE41" s="51">
        <v>1.3086621077145761</v>
      </c>
      <c r="AF41" s="51">
        <v>1.3086621077145761</v>
      </c>
      <c r="AG41" s="62" t="s">
        <v>122</v>
      </c>
      <c r="AH41" s="65">
        <v>0</v>
      </c>
      <c r="AI41" s="65">
        <v>0</v>
      </c>
      <c r="AJ41" s="65">
        <v>0</v>
      </c>
      <c r="AK41" s="65">
        <v>9.851532821258549E-2</v>
      </c>
      <c r="AL41" s="65">
        <v>9.851532821258549E-2</v>
      </c>
      <c r="AM41" s="65">
        <v>9.851532821258549E-2</v>
      </c>
      <c r="AN41" s="65">
        <v>9.851532821258549E-2</v>
      </c>
      <c r="AO41" s="65">
        <v>9.851532821258549E-2</v>
      </c>
      <c r="AP41" s="65">
        <v>9.851532821258549E-2</v>
      </c>
      <c r="AQ41" s="62" t="s">
        <v>122</v>
      </c>
      <c r="AR41" s="65">
        <v>0</v>
      </c>
      <c r="AS41" s="65">
        <v>0</v>
      </c>
      <c r="AT41" s="65">
        <v>0</v>
      </c>
      <c r="AU41" s="65">
        <v>9.0585368099999997</v>
      </c>
      <c r="AV41" s="65">
        <v>9.0585368099999997</v>
      </c>
      <c r="AW41" s="65">
        <v>9.0585368099999997</v>
      </c>
      <c r="AX41" s="65">
        <v>9.0585368099999997</v>
      </c>
      <c r="AY41" s="65">
        <v>9.0585368099999997</v>
      </c>
      <c r="AZ41" s="65">
        <v>9.0585368099999997</v>
      </c>
    </row>
    <row r="42" spans="1:52" x14ac:dyDescent="0.55000000000000004">
      <c r="A42" s="62" t="s">
        <v>101</v>
      </c>
      <c r="B42" s="61">
        <v>373.45</v>
      </c>
      <c r="C42" s="61">
        <v>375.3</v>
      </c>
      <c r="D42" s="61">
        <v>379</v>
      </c>
      <c r="E42" s="61"/>
      <c r="F42" s="62" t="s">
        <v>125</v>
      </c>
      <c r="G42" s="51">
        <v>1.0286799641275782E-2</v>
      </c>
      <c r="H42" s="110">
        <v>1.1009289324020535E-2</v>
      </c>
      <c r="I42" s="51">
        <v>1.245426868951004E-2</v>
      </c>
      <c r="J42"/>
      <c r="K42"/>
      <c r="L42"/>
      <c r="M42" s="60" t="s">
        <v>123</v>
      </c>
      <c r="N42" s="65"/>
      <c r="O42" s="65"/>
      <c r="P42" s="65"/>
      <c r="Q42" s="65"/>
      <c r="R42" s="65"/>
      <c r="S42" s="65"/>
      <c r="T42" s="65"/>
      <c r="U42" s="65"/>
      <c r="V42" s="65"/>
      <c r="W42" s="60" t="s">
        <v>123</v>
      </c>
      <c r="AG42" s="60" t="s">
        <v>123</v>
      </c>
      <c r="AH42" s="65"/>
      <c r="AI42" s="65"/>
      <c r="AJ42" s="65"/>
      <c r="AK42" s="65"/>
      <c r="AL42" s="65"/>
      <c r="AM42" s="65"/>
      <c r="AN42" s="65"/>
      <c r="AO42" s="65"/>
      <c r="AP42" s="65"/>
      <c r="AQ42" s="60" t="s">
        <v>123</v>
      </c>
      <c r="AR42" s="65"/>
      <c r="AS42" s="65"/>
      <c r="AT42" s="65"/>
      <c r="AU42" s="65"/>
      <c r="AV42" s="65"/>
      <c r="AW42" s="65"/>
      <c r="AX42" s="65"/>
      <c r="AY42" s="65"/>
      <c r="AZ42" s="65"/>
    </row>
    <row r="43" spans="1:52" x14ac:dyDescent="0.55000000000000004">
      <c r="A43" s="62" t="s">
        <v>102</v>
      </c>
      <c r="B43" s="61">
        <v>27.72</v>
      </c>
      <c r="C43" s="61">
        <v>29.31</v>
      </c>
      <c r="D43" s="61">
        <v>32.5</v>
      </c>
      <c r="E43" s="61"/>
      <c r="F43"/>
      <c r="G43"/>
      <c r="H43"/>
      <c r="I43"/>
      <c r="J43"/>
      <c r="K43"/>
      <c r="L43"/>
      <c r="M43" s="62" t="s">
        <v>124</v>
      </c>
      <c r="N43" s="65">
        <v>28.665779820441252</v>
      </c>
      <c r="O43" s="65">
        <v>30.496966857971358</v>
      </c>
      <c r="P43" s="65">
        <v>34.159340933031572</v>
      </c>
      <c r="Q43" s="65">
        <v>1.0306309834379224</v>
      </c>
      <c r="R43" s="65">
        <v>1.0484405346167895</v>
      </c>
      <c r="S43" s="65">
        <v>1.0842532190525551</v>
      </c>
      <c r="T43" s="65">
        <v>29.696410803879175</v>
      </c>
      <c r="U43" s="65">
        <v>31.54540739258815</v>
      </c>
      <c r="V43" s="65">
        <v>35.243594152084128</v>
      </c>
      <c r="W43" s="62" t="s">
        <v>124</v>
      </c>
      <c r="X43" s="51">
        <v>109.70867268148652</v>
      </c>
      <c r="Y43" s="51">
        <v>113.27373401005732</v>
      </c>
      <c r="Z43" s="51">
        <v>120.40385666719892</v>
      </c>
      <c r="AA43" s="51">
        <v>0.92897560819632041</v>
      </c>
      <c r="AB43" s="51">
        <v>0.94502853005095255</v>
      </c>
      <c r="AC43" s="51">
        <v>0.97730886204124545</v>
      </c>
      <c r="AD43" s="51">
        <v>110.63764828968284</v>
      </c>
      <c r="AE43" s="51">
        <v>114.21876254010827</v>
      </c>
      <c r="AF43" s="51">
        <v>121.38116552924016</v>
      </c>
      <c r="AG43" s="62" t="s">
        <v>124</v>
      </c>
      <c r="AH43" s="65">
        <v>15.828033273270336</v>
      </c>
      <c r="AI43" s="65">
        <v>17.83286607565762</v>
      </c>
      <c r="AJ43" s="65">
        <v>21.842531680432188</v>
      </c>
      <c r="AK43" s="65">
        <v>6.9932747653840693E-2</v>
      </c>
      <c r="AL43" s="65">
        <v>7.1141202346581736E-2</v>
      </c>
      <c r="AM43" s="65">
        <v>7.3571247109158841E-2</v>
      </c>
      <c r="AN43" s="65">
        <v>15.897966020924176</v>
      </c>
      <c r="AO43" s="65">
        <v>17.904007278004201</v>
      </c>
      <c r="AP43" s="65">
        <v>21.916102927541345</v>
      </c>
      <c r="AQ43" s="62" t="s">
        <v>124</v>
      </c>
      <c r="AR43" s="65">
        <v>458.74227558597102</v>
      </c>
      <c r="AS43" s="65">
        <v>498.10006264244583</v>
      </c>
      <c r="AT43" s="65">
        <v>576.81563675539553</v>
      </c>
      <c r="AU43" s="65">
        <v>6.4303533301920002</v>
      </c>
      <c r="AV43" s="65">
        <v>6.5414713817279999</v>
      </c>
      <c r="AW43" s="65">
        <v>6.764915289708</v>
      </c>
      <c r="AX43" s="65">
        <v>465.17262891616303</v>
      </c>
      <c r="AY43" s="65">
        <v>504.64153402417384</v>
      </c>
      <c r="AZ43" s="65">
        <v>583.58055204510356</v>
      </c>
    </row>
    <row r="44" spans="1:52" x14ac:dyDescent="0.55000000000000004">
      <c r="A44" s="62" t="s">
        <v>103</v>
      </c>
      <c r="B44" s="61">
        <v>52.37</v>
      </c>
      <c r="C44" s="61">
        <v>55.57</v>
      </c>
      <c r="D44" s="61">
        <v>61.97</v>
      </c>
      <c r="E44" s="61"/>
      <c r="F44"/>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row>
    <row r="45" spans="1:52" x14ac:dyDescent="0.55000000000000004">
      <c r="A45" s="62" t="s">
        <v>105</v>
      </c>
      <c r="B45" s="61">
        <v>609.07999999999993</v>
      </c>
      <c r="C45" s="61">
        <v>615.11</v>
      </c>
      <c r="D45" s="61">
        <v>627.16999999999996</v>
      </c>
      <c r="E45" s="61"/>
      <c r="F45"/>
      <c r="G45"/>
      <c r="H45"/>
      <c r="I45"/>
      <c r="J45"/>
      <c r="K45"/>
      <c r="L45"/>
      <c r="M45"/>
      <c r="N45"/>
      <c r="O45"/>
      <c r="P45"/>
      <c r="Q45"/>
      <c r="R45"/>
      <c r="S45"/>
      <c r="T45"/>
      <c r="U45" s="65"/>
      <c r="V45"/>
      <c r="W45"/>
      <c r="X45"/>
      <c r="Y45"/>
      <c r="Z45"/>
      <c r="AA45"/>
      <c r="AB45"/>
      <c r="AC45"/>
      <c r="AD45"/>
      <c r="AE45"/>
      <c r="AF45"/>
      <c r="AG45"/>
      <c r="AH45"/>
      <c r="AI45"/>
      <c r="AJ45"/>
      <c r="AK45"/>
      <c r="AL45"/>
      <c r="AM45"/>
      <c r="AN45"/>
      <c r="AO45"/>
      <c r="AP45"/>
      <c r="AQ45"/>
      <c r="AR45"/>
      <c r="AS45"/>
      <c r="AT45"/>
      <c r="AU45"/>
      <c r="AV45"/>
      <c r="AW45"/>
    </row>
    <row r="46" spans="1:52" x14ac:dyDescent="0.55000000000000004">
      <c r="A46" s="62" t="s">
        <v>106</v>
      </c>
      <c r="B46" s="61">
        <v>740.78</v>
      </c>
      <c r="C46" s="61">
        <v>742.62</v>
      </c>
      <c r="D46" s="61">
        <v>746.32</v>
      </c>
      <c r="E46" s="61"/>
      <c r="F46"/>
      <c r="G46"/>
      <c r="H46"/>
      <c r="I46"/>
      <c r="J46"/>
      <c r="K46"/>
      <c r="L46"/>
      <c r="M46"/>
      <c r="N46"/>
      <c r="O46"/>
      <c r="P46"/>
      <c r="Q46"/>
      <c r="R46"/>
      <c r="S46"/>
      <c r="T46"/>
      <c r="U46" s="65"/>
      <c r="V46"/>
      <c r="W46"/>
      <c r="X46"/>
      <c r="Y46"/>
      <c r="Z46"/>
      <c r="AA46"/>
      <c r="AB46"/>
      <c r="AC46"/>
      <c r="AD46"/>
      <c r="AE46"/>
      <c r="AF46"/>
      <c r="AG46"/>
      <c r="AH46"/>
      <c r="AI46"/>
      <c r="AJ46"/>
      <c r="AK46"/>
      <c r="AL46"/>
      <c r="AM46"/>
      <c r="AN46"/>
      <c r="AO46"/>
      <c r="AP46"/>
      <c r="AQ46"/>
      <c r="AR46"/>
      <c r="AS46"/>
      <c r="AT46"/>
      <c r="AU46"/>
      <c r="AV46"/>
      <c r="AW46"/>
    </row>
    <row r="47" spans="1:52" x14ac:dyDescent="0.55000000000000004">
      <c r="A47" s="62" t="s">
        <v>109</v>
      </c>
      <c r="B47" s="61">
        <v>752.78</v>
      </c>
      <c r="C47" s="61">
        <v>754.62</v>
      </c>
      <c r="D47" s="61">
        <v>758.32</v>
      </c>
      <c r="E47" s="61"/>
      <c r="F47"/>
      <c r="G47"/>
      <c r="H47"/>
      <c r="I47"/>
      <c r="J47"/>
      <c r="K47"/>
      <c r="L47"/>
      <c r="M47"/>
      <c r="N47"/>
      <c r="O47"/>
      <c r="P47"/>
      <c r="Q47"/>
      <c r="R47"/>
      <c r="S47"/>
      <c r="T47"/>
      <c r="U47" s="65"/>
      <c r="V47"/>
      <c r="W47"/>
      <c r="X47"/>
      <c r="Y47"/>
      <c r="Z47"/>
      <c r="AA47"/>
      <c r="AB47"/>
      <c r="AC47"/>
      <c r="AD47"/>
      <c r="AE47"/>
      <c r="AF47"/>
      <c r="AG47"/>
      <c r="AH47"/>
      <c r="AI47"/>
      <c r="AJ47"/>
      <c r="AK47"/>
      <c r="AL47"/>
      <c r="AM47"/>
      <c r="AN47"/>
      <c r="AO47"/>
      <c r="AP47"/>
      <c r="AQ47"/>
      <c r="AR47"/>
      <c r="AS47"/>
      <c r="AT47"/>
      <c r="AU47"/>
      <c r="AV47"/>
      <c r="AW47"/>
    </row>
    <row r="48" spans="1:52" x14ac:dyDescent="0.55000000000000004">
      <c r="A48" s="60" t="s">
        <v>110</v>
      </c>
      <c r="B48" s="61"/>
      <c r="C48" s="61"/>
      <c r="D48" s="61"/>
      <c r="E48" s="61"/>
      <c r="F48"/>
      <c r="G48"/>
      <c r="H48"/>
      <c r="I48"/>
      <c r="J48"/>
      <c r="K48"/>
      <c r="L48"/>
      <c r="M48"/>
      <c r="N48"/>
      <c r="O48"/>
      <c r="P48"/>
      <c r="Q48"/>
      <c r="R48"/>
      <c r="S48"/>
      <c r="T48"/>
      <c r="U48" s="65"/>
      <c r="V48"/>
      <c r="W48"/>
      <c r="X48"/>
      <c r="Y48"/>
      <c r="Z48"/>
      <c r="AA48"/>
      <c r="AB48"/>
      <c r="AC48"/>
      <c r="AD48"/>
      <c r="AE48"/>
      <c r="AF48"/>
      <c r="AG48"/>
      <c r="AH48"/>
      <c r="AI48"/>
      <c r="AJ48"/>
      <c r="AK48"/>
      <c r="AL48"/>
      <c r="AM48"/>
      <c r="AN48"/>
      <c r="AO48"/>
      <c r="AP48"/>
      <c r="AQ48"/>
      <c r="AR48"/>
      <c r="AS48"/>
      <c r="AT48"/>
      <c r="AU48"/>
      <c r="AV48"/>
      <c r="AW48"/>
    </row>
    <row r="49" spans="1:49" x14ac:dyDescent="0.55000000000000004">
      <c r="A49" s="62" t="s">
        <v>114</v>
      </c>
      <c r="B49" s="61">
        <v>618.84</v>
      </c>
      <c r="C49" s="61">
        <v>619.84</v>
      </c>
      <c r="D49" s="61">
        <v>621.84</v>
      </c>
      <c r="E49" s="61"/>
      <c r="F49"/>
      <c r="G49"/>
      <c r="H49"/>
      <c r="I49"/>
      <c r="J49"/>
      <c r="K49"/>
      <c r="L49"/>
      <c r="M49"/>
      <c r="N49"/>
      <c r="O49"/>
      <c r="P49"/>
      <c r="Q49"/>
      <c r="R49"/>
      <c r="S49"/>
      <c r="T49"/>
      <c r="U49" s="65"/>
      <c r="V49"/>
      <c r="W49"/>
      <c r="X49"/>
      <c r="Y49"/>
      <c r="Z49"/>
      <c r="AA49"/>
      <c r="AB49"/>
      <c r="AC49"/>
      <c r="AD49"/>
      <c r="AE49"/>
      <c r="AF49"/>
      <c r="AG49"/>
      <c r="AH49"/>
      <c r="AI49"/>
      <c r="AJ49"/>
      <c r="AK49"/>
      <c r="AL49"/>
      <c r="AM49"/>
      <c r="AN49"/>
      <c r="AO49"/>
      <c r="AP49"/>
      <c r="AQ49"/>
      <c r="AR49"/>
      <c r="AS49"/>
      <c r="AT49"/>
      <c r="AU49"/>
      <c r="AV49"/>
      <c r="AW49"/>
    </row>
    <row r="50" spans="1:49" x14ac:dyDescent="0.55000000000000004">
      <c r="A50" s="62" t="s">
        <v>115</v>
      </c>
      <c r="B50" s="61">
        <v>37.03</v>
      </c>
      <c r="C50" s="61">
        <v>38.31</v>
      </c>
      <c r="D50" s="61">
        <v>40.869999999999997</v>
      </c>
      <c r="E50" s="61"/>
      <c r="F50"/>
      <c r="G50"/>
      <c r="H50"/>
      <c r="I50"/>
      <c r="J50"/>
      <c r="K50"/>
      <c r="L50"/>
      <c r="M50"/>
      <c r="N50"/>
      <c r="O50"/>
      <c r="P50"/>
      <c r="Q50"/>
      <c r="R50"/>
      <c r="S50"/>
      <c r="T50"/>
      <c r="U50" s="65"/>
      <c r="V50"/>
      <c r="W50"/>
      <c r="X50"/>
      <c r="Y50"/>
      <c r="Z50"/>
      <c r="AA50"/>
      <c r="AB50"/>
      <c r="AC50"/>
      <c r="AD50"/>
      <c r="AE50"/>
      <c r="AF50"/>
      <c r="AG50"/>
      <c r="AH50"/>
      <c r="AI50"/>
      <c r="AJ50"/>
      <c r="AK50"/>
      <c r="AL50"/>
      <c r="AM50"/>
      <c r="AN50"/>
      <c r="AO50"/>
      <c r="AP50"/>
      <c r="AQ50"/>
      <c r="AR50"/>
      <c r="AS50"/>
      <c r="AT50"/>
      <c r="AU50"/>
      <c r="AV50"/>
      <c r="AW50"/>
    </row>
    <row r="51" spans="1:49" x14ac:dyDescent="0.55000000000000004">
      <c r="A51" s="62" t="s">
        <v>116</v>
      </c>
      <c r="B51" s="61">
        <v>201.96</v>
      </c>
      <c r="C51" s="61">
        <v>203.81</v>
      </c>
      <c r="D51" s="61">
        <v>207.51000000000002</v>
      </c>
      <c r="E51" s="61"/>
      <c r="F51"/>
      <c r="G51"/>
      <c r="H51"/>
      <c r="I51"/>
      <c r="J51"/>
      <c r="K51"/>
      <c r="L51"/>
      <c r="M51"/>
      <c r="N51"/>
      <c r="O51"/>
      <c r="P51"/>
      <c r="Q51"/>
      <c r="R51"/>
      <c r="S51"/>
      <c r="T51"/>
      <c r="U51" s="65"/>
      <c r="V51"/>
      <c r="W51"/>
      <c r="X51"/>
      <c r="Y51"/>
      <c r="Z51"/>
      <c r="AA51"/>
      <c r="AB51"/>
      <c r="AC51"/>
      <c r="AD51"/>
      <c r="AE51"/>
      <c r="AF51"/>
      <c r="AG51"/>
      <c r="AH51"/>
      <c r="AI51"/>
      <c r="AJ51"/>
      <c r="AK51"/>
      <c r="AL51"/>
      <c r="AM51"/>
      <c r="AN51"/>
      <c r="AO51"/>
      <c r="AP51"/>
      <c r="AQ51"/>
      <c r="AR51"/>
      <c r="AS51"/>
      <c r="AT51"/>
      <c r="AU51"/>
      <c r="AV51"/>
      <c r="AW51"/>
    </row>
    <row r="52" spans="1:49" x14ac:dyDescent="0.55000000000000004">
      <c r="A52" s="60" t="s">
        <v>117</v>
      </c>
      <c r="B52" s="61"/>
      <c r="C52" s="61"/>
      <c r="D52" s="61"/>
      <c r="E52" s="61"/>
      <c r="F52"/>
      <c r="G52"/>
      <c r="H52"/>
      <c r="I52"/>
      <c r="J52"/>
      <c r="K52"/>
      <c r="L52"/>
      <c r="M52"/>
      <c r="N52"/>
      <c r="O52"/>
      <c r="P52"/>
      <c r="Q52"/>
      <c r="R52"/>
      <c r="S52"/>
      <c r="T52"/>
      <c r="U52" s="65"/>
      <c r="V52"/>
      <c r="W52"/>
      <c r="X52"/>
      <c r="Y52"/>
      <c r="Z52"/>
      <c r="AA52"/>
      <c r="AB52"/>
      <c r="AC52"/>
      <c r="AD52"/>
      <c r="AE52"/>
      <c r="AF52"/>
      <c r="AG52"/>
      <c r="AH52"/>
      <c r="AI52"/>
      <c r="AJ52"/>
      <c r="AK52"/>
      <c r="AL52"/>
      <c r="AM52"/>
      <c r="AN52"/>
      <c r="AO52"/>
      <c r="AP52"/>
      <c r="AQ52"/>
      <c r="AR52"/>
      <c r="AS52"/>
      <c r="AT52"/>
      <c r="AU52"/>
      <c r="AV52"/>
      <c r="AW52"/>
    </row>
    <row r="53" spans="1:49" x14ac:dyDescent="0.55000000000000004">
      <c r="A53" s="62" t="s">
        <v>118</v>
      </c>
      <c r="B53" s="61">
        <v>50.980000000000004</v>
      </c>
      <c r="C53" s="61">
        <v>52.76</v>
      </c>
      <c r="D53" s="61">
        <v>56.34</v>
      </c>
      <c r="E53"/>
      <c r="F53"/>
      <c r="G53"/>
      <c r="H53"/>
      <c r="I53"/>
      <c r="J53"/>
      <c r="K53"/>
      <c r="L53"/>
      <c r="M53"/>
      <c r="N53"/>
      <c r="O53"/>
      <c r="P53"/>
      <c r="Q53"/>
      <c r="R53"/>
      <c r="S53"/>
      <c r="T53"/>
      <c r="U53" s="65"/>
      <c r="V53"/>
      <c r="W53"/>
      <c r="X53"/>
      <c r="Y53"/>
      <c r="Z53"/>
      <c r="AA53"/>
      <c r="AB53"/>
      <c r="AC53"/>
      <c r="AD53"/>
      <c r="AE53"/>
      <c r="AF53"/>
      <c r="AG53"/>
      <c r="AH53"/>
      <c r="AI53"/>
      <c r="AJ53"/>
      <c r="AK53"/>
      <c r="AL53"/>
      <c r="AM53"/>
      <c r="AN53"/>
      <c r="AO53"/>
      <c r="AP53"/>
      <c r="AQ53"/>
      <c r="AR53"/>
      <c r="AS53"/>
      <c r="AT53"/>
      <c r="AU53"/>
      <c r="AV53"/>
      <c r="AW53"/>
    </row>
    <row r="54" spans="1:49" x14ac:dyDescent="0.55000000000000004">
      <c r="A54" s="62" t="s">
        <v>119</v>
      </c>
      <c r="B54" s="61">
        <v>564.99</v>
      </c>
      <c r="C54" s="61">
        <v>566.19000000000005</v>
      </c>
      <c r="D54" s="61">
        <v>568.58999999999992</v>
      </c>
      <c r="F54"/>
      <c r="G54"/>
      <c r="H54"/>
      <c r="I54"/>
      <c r="J54"/>
      <c r="K54"/>
      <c r="L54"/>
      <c r="M54"/>
      <c r="N54"/>
      <c r="O54"/>
      <c r="P54"/>
      <c r="Q54"/>
      <c r="R54"/>
      <c r="S54"/>
      <c r="T54"/>
      <c r="U54" s="65"/>
      <c r="V54"/>
      <c r="W54"/>
      <c r="X54"/>
      <c r="Y54"/>
      <c r="Z54"/>
      <c r="AA54"/>
      <c r="AB54"/>
      <c r="AC54"/>
      <c r="AD54"/>
      <c r="AE54"/>
      <c r="AF54"/>
      <c r="AG54"/>
      <c r="AH54"/>
      <c r="AI54"/>
      <c r="AJ54"/>
      <c r="AK54"/>
      <c r="AL54"/>
      <c r="AM54"/>
      <c r="AN54"/>
      <c r="AO54"/>
      <c r="AP54"/>
      <c r="AQ54"/>
      <c r="AR54"/>
      <c r="AS54"/>
      <c r="AT54"/>
      <c r="AU54"/>
      <c r="AV54"/>
      <c r="AW54"/>
    </row>
    <row r="55" spans="1:49" x14ac:dyDescent="0.55000000000000004">
      <c r="A55" s="60" t="s">
        <v>120</v>
      </c>
      <c r="B55" s="61"/>
      <c r="C55" s="61"/>
      <c r="D55" s="61"/>
      <c r="F55"/>
      <c r="G55"/>
      <c r="H55"/>
      <c r="I55"/>
      <c r="J55"/>
      <c r="K55"/>
      <c r="L55"/>
      <c r="M55"/>
      <c r="N55"/>
      <c r="O55"/>
      <c r="P55"/>
      <c r="Q55"/>
      <c r="R55"/>
      <c r="S55"/>
      <c r="T55"/>
      <c r="U55" s="65"/>
      <c r="V55"/>
      <c r="W55"/>
      <c r="X55"/>
      <c r="Y55"/>
      <c r="Z55"/>
      <c r="AA55"/>
      <c r="AB55"/>
      <c r="AC55"/>
      <c r="AD55"/>
      <c r="AE55"/>
      <c r="AF55"/>
      <c r="AG55"/>
      <c r="AH55"/>
      <c r="AI55"/>
      <c r="AJ55"/>
      <c r="AK55"/>
      <c r="AL55"/>
      <c r="AM55"/>
      <c r="AN55"/>
      <c r="AO55"/>
      <c r="AP55"/>
      <c r="AQ55"/>
      <c r="AR55"/>
      <c r="AS55"/>
      <c r="AT55"/>
      <c r="AU55"/>
      <c r="AV55"/>
      <c r="AW55"/>
    </row>
    <row r="56" spans="1:49" x14ac:dyDescent="0.55000000000000004">
      <c r="A56" s="62" t="s">
        <v>121</v>
      </c>
      <c r="B56" s="61">
        <v>37.5</v>
      </c>
      <c r="C56" s="61">
        <v>37.5</v>
      </c>
      <c r="D56" s="61">
        <v>37.5</v>
      </c>
      <c r="F56"/>
      <c r="G56"/>
      <c r="H56"/>
      <c r="I56"/>
      <c r="J56"/>
      <c r="K56"/>
      <c r="L56"/>
      <c r="M56"/>
      <c r="N56"/>
      <c r="O56"/>
      <c r="P56"/>
      <c r="Q56"/>
      <c r="R56"/>
      <c r="S56"/>
      <c r="T56"/>
      <c r="U56" s="65"/>
      <c r="V56"/>
      <c r="W56"/>
      <c r="X56"/>
      <c r="Y56"/>
      <c r="Z56"/>
      <c r="AA56"/>
      <c r="AB56"/>
      <c r="AC56"/>
      <c r="AD56"/>
      <c r="AE56"/>
      <c r="AF56"/>
      <c r="AG56"/>
      <c r="AH56"/>
      <c r="AI56"/>
      <c r="AJ56"/>
      <c r="AK56"/>
      <c r="AL56"/>
      <c r="AM56"/>
      <c r="AN56"/>
      <c r="AO56"/>
      <c r="AP56"/>
      <c r="AQ56"/>
      <c r="AR56"/>
      <c r="AS56"/>
      <c r="AT56"/>
      <c r="AU56"/>
      <c r="AV56"/>
      <c r="AW56"/>
    </row>
    <row r="57" spans="1:49" x14ac:dyDescent="0.55000000000000004">
      <c r="A57" s="62" t="s">
        <v>122</v>
      </c>
      <c r="B57" s="61">
        <v>37.5</v>
      </c>
      <c r="C57" s="61">
        <v>37.5</v>
      </c>
      <c r="D57" s="61">
        <v>37.5</v>
      </c>
      <c r="F57"/>
      <c r="G57"/>
      <c r="H57"/>
      <c r="I57"/>
      <c r="J57"/>
      <c r="K57"/>
      <c r="L57"/>
      <c r="M57"/>
      <c r="N57"/>
      <c r="O57"/>
      <c r="P57"/>
      <c r="Q57"/>
      <c r="R57"/>
      <c r="S57"/>
      <c r="T57"/>
      <c r="U57" s="65"/>
      <c r="V57"/>
      <c r="W57"/>
      <c r="X57"/>
      <c r="Y57"/>
      <c r="Z57"/>
      <c r="AA57"/>
      <c r="AB57"/>
      <c r="AC57"/>
      <c r="AD57"/>
      <c r="AE57"/>
      <c r="AF57"/>
      <c r="AG57"/>
      <c r="AH57"/>
      <c r="AI57"/>
      <c r="AJ57"/>
      <c r="AK57"/>
      <c r="AL57"/>
      <c r="AM57"/>
      <c r="AN57"/>
      <c r="AO57"/>
      <c r="AP57"/>
      <c r="AQ57"/>
      <c r="AR57"/>
      <c r="AS57"/>
      <c r="AT57"/>
      <c r="AU57"/>
      <c r="AV57"/>
      <c r="AW57"/>
    </row>
    <row r="58" spans="1:49" x14ac:dyDescent="0.55000000000000004">
      <c r="A58" s="60" t="s">
        <v>123</v>
      </c>
      <c r="B58" s="61"/>
      <c r="C58" s="61"/>
      <c r="D58" s="61"/>
      <c r="F58"/>
      <c r="G58"/>
      <c r="H58"/>
      <c r="I58"/>
      <c r="J58"/>
      <c r="K58"/>
      <c r="L58"/>
      <c r="M58"/>
      <c r="N58"/>
      <c r="O58"/>
      <c r="P58"/>
      <c r="Q58"/>
      <c r="R58"/>
      <c r="S58"/>
      <c r="T58"/>
      <c r="U58" s="65"/>
      <c r="V58"/>
      <c r="W58"/>
      <c r="X58"/>
      <c r="Y58"/>
      <c r="Z58"/>
      <c r="AA58"/>
      <c r="AB58"/>
      <c r="AC58"/>
      <c r="AD58"/>
      <c r="AE58"/>
      <c r="AF58"/>
      <c r="AG58"/>
      <c r="AH58"/>
      <c r="AI58"/>
      <c r="AJ58"/>
      <c r="AK58"/>
      <c r="AL58"/>
      <c r="AM58"/>
      <c r="AN58"/>
      <c r="AO58"/>
      <c r="AP58"/>
      <c r="AQ58"/>
      <c r="AR58"/>
      <c r="AS58"/>
      <c r="AT58"/>
      <c r="AU58"/>
      <c r="AV58"/>
      <c r="AW58"/>
    </row>
    <row r="59" spans="1:49" x14ac:dyDescent="0.55000000000000004">
      <c r="A59" s="62" t="s">
        <v>124</v>
      </c>
      <c r="B59" s="61">
        <v>106.48</v>
      </c>
      <c r="C59" s="61">
        <v>108.32000000000001</v>
      </c>
      <c r="D59" s="61">
        <v>112.02</v>
      </c>
      <c r="F59"/>
      <c r="G59"/>
      <c r="H59"/>
      <c r="I59"/>
      <c r="J59"/>
      <c r="K59"/>
      <c r="L59"/>
      <c r="M59"/>
      <c r="N59"/>
      <c r="O59"/>
      <c r="P59"/>
      <c r="Q59"/>
      <c r="R59"/>
      <c r="S59"/>
      <c r="T59"/>
      <c r="U59" s="65"/>
      <c r="V59"/>
      <c r="W59"/>
      <c r="X59"/>
      <c r="Y59"/>
      <c r="Z59"/>
      <c r="AA59"/>
      <c r="AB59"/>
      <c r="AC59"/>
      <c r="AD59"/>
      <c r="AE59"/>
      <c r="AF59"/>
      <c r="AG59"/>
      <c r="AH59"/>
      <c r="AI59"/>
      <c r="AJ59"/>
      <c r="AK59"/>
      <c r="AL59"/>
      <c r="AM59"/>
      <c r="AN59"/>
      <c r="AO59"/>
      <c r="AP59"/>
      <c r="AQ59"/>
      <c r="AR59"/>
      <c r="AS59"/>
      <c r="AT59"/>
      <c r="AU59"/>
      <c r="AV59"/>
      <c r="AW59"/>
    </row>
    <row r="60" spans="1:49" x14ac:dyDescent="0.55000000000000004">
      <c r="A60"/>
      <c r="B60"/>
      <c r="C60"/>
      <c r="D60"/>
      <c r="E60" s="56"/>
      <c r="F60"/>
      <c r="G60"/>
      <c r="H60"/>
      <c r="I60"/>
      <c r="J60"/>
      <c r="K60"/>
      <c r="L60"/>
      <c r="M60"/>
      <c r="N60"/>
      <c r="O60"/>
      <c r="P60"/>
      <c r="Q60"/>
      <c r="R60"/>
      <c r="S60"/>
      <c r="T60"/>
      <c r="U60" s="65"/>
      <c r="V60"/>
      <c r="W60"/>
      <c r="X60"/>
      <c r="Y60"/>
      <c r="Z60"/>
      <c r="AA60"/>
      <c r="AB60"/>
      <c r="AC60"/>
      <c r="AD60"/>
      <c r="AE60"/>
      <c r="AF60"/>
      <c r="AG60"/>
      <c r="AH60"/>
      <c r="AI60"/>
      <c r="AJ60"/>
      <c r="AK60"/>
      <c r="AL60"/>
      <c r="AM60"/>
      <c r="AN60"/>
      <c r="AO60"/>
      <c r="AP60"/>
      <c r="AQ60"/>
      <c r="AR60"/>
      <c r="AS60"/>
      <c r="AT60"/>
      <c r="AU60"/>
      <c r="AV60"/>
      <c r="AW60"/>
    </row>
    <row r="61" spans="1:49" x14ac:dyDescent="0.55000000000000004">
      <c r="A61"/>
      <c r="B61"/>
      <c r="C61"/>
      <c r="D61"/>
      <c r="F61"/>
      <c r="G61"/>
      <c r="H61"/>
      <c r="I61"/>
      <c r="J61"/>
      <c r="K61"/>
      <c r="L61"/>
      <c r="M61"/>
      <c r="N61"/>
      <c r="O61"/>
      <c r="P61"/>
      <c r="Q61"/>
      <c r="R61"/>
      <c r="S61"/>
      <c r="T61"/>
      <c r="U61" s="65"/>
      <c r="V61"/>
      <c r="W61"/>
      <c r="X61"/>
      <c r="Y61"/>
      <c r="Z61"/>
      <c r="AA61"/>
      <c r="AB61"/>
      <c r="AC61"/>
      <c r="AD61"/>
      <c r="AE61"/>
      <c r="AF61"/>
      <c r="AG61"/>
      <c r="AH61"/>
      <c r="AI61"/>
      <c r="AJ61"/>
      <c r="AK61"/>
      <c r="AL61"/>
      <c r="AM61"/>
      <c r="AN61"/>
      <c r="AO61"/>
      <c r="AP61"/>
      <c r="AQ61"/>
      <c r="AR61"/>
      <c r="AS61"/>
      <c r="AT61"/>
      <c r="AU61"/>
      <c r="AV61"/>
      <c r="AW61"/>
    </row>
    <row r="62" spans="1:49" x14ac:dyDescent="0.55000000000000004">
      <c r="A62"/>
      <c r="B62"/>
      <c r="C62"/>
      <c r="D62"/>
      <c r="F62"/>
      <c r="G62"/>
      <c r="H62"/>
      <c r="I62"/>
      <c r="J62"/>
      <c r="K62"/>
      <c r="L62"/>
      <c r="M62"/>
      <c r="N62"/>
      <c r="O62"/>
      <c r="P62"/>
      <c r="Q62"/>
      <c r="R62"/>
      <c r="S62"/>
      <c r="T62"/>
      <c r="U62" s="65"/>
      <c r="V62"/>
      <c r="W62"/>
      <c r="X62"/>
      <c r="Y62"/>
      <c r="Z62"/>
      <c r="AA62"/>
      <c r="AB62"/>
      <c r="AC62"/>
      <c r="AD62"/>
      <c r="AE62"/>
      <c r="AF62"/>
      <c r="AG62"/>
      <c r="AH62"/>
      <c r="AI62"/>
      <c r="AJ62"/>
      <c r="AK62"/>
      <c r="AL62"/>
      <c r="AM62"/>
      <c r="AN62"/>
      <c r="AO62"/>
      <c r="AP62"/>
      <c r="AQ62"/>
      <c r="AR62"/>
      <c r="AS62"/>
      <c r="AT62"/>
      <c r="AU62"/>
      <c r="AV62"/>
      <c r="AW62"/>
    </row>
    <row r="63" spans="1:49" x14ac:dyDescent="0.55000000000000004">
      <c r="A63"/>
      <c r="B63"/>
      <c r="C63"/>
      <c r="D63"/>
      <c r="F63"/>
      <c r="G63"/>
      <c r="H63"/>
      <c r="I63"/>
      <c r="J63"/>
      <c r="K63"/>
      <c r="L63"/>
      <c r="M63"/>
      <c r="N63"/>
      <c r="O63"/>
      <c r="P63"/>
      <c r="Q63"/>
      <c r="R63"/>
      <c r="S63"/>
      <c r="T63"/>
      <c r="U63" s="65"/>
      <c r="V63"/>
      <c r="W63"/>
      <c r="X63"/>
      <c r="Y63"/>
      <c r="Z63"/>
      <c r="AA63"/>
      <c r="AB63"/>
      <c r="AC63"/>
      <c r="AD63"/>
      <c r="AE63"/>
      <c r="AF63"/>
      <c r="AG63"/>
      <c r="AH63"/>
      <c r="AI63"/>
      <c r="AJ63"/>
      <c r="AK63"/>
      <c r="AL63"/>
      <c r="AM63"/>
      <c r="AN63"/>
      <c r="AO63"/>
      <c r="AP63"/>
      <c r="AQ63"/>
      <c r="AR63"/>
      <c r="AS63"/>
      <c r="AT63"/>
      <c r="AU63"/>
      <c r="AV63"/>
      <c r="AW63"/>
    </row>
    <row r="64" spans="1:49" x14ac:dyDescent="0.55000000000000004">
      <c r="A64"/>
      <c r="B64"/>
      <c r="C64"/>
      <c r="D64"/>
      <c r="F64"/>
      <c r="G64"/>
      <c r="H64"/>
      <c r="I64"/>
      <c r="J64"/>
      <c r="K64"/>
      <c r="L64"/>
      <c r="M64"/>
      <c r="N64"/>
      <c r="O64"/>
      <c r="P64"/>
      <c r="Q64"/>
      <c r="R64"/>
      <c r="S64"/>
      <c r="T64"/>
      <c r="U64" s="65"/>
      <c r="V64"/>
      <c r="W64"/>
      <c r="X64"/>
      <c r="Y64"/>
      <c r="Z64"/>
      <c r="AA64"/>
      <c r="AB64"/>
      <c r="AC64"/>
      <c r="AD64"/>
      <c r="AE64"/>
      <c r="AF64"/>
      <c r="AG64"/>
      <c r="AH64"/>
      <c r="AI64"/>
      <c r="AJ64"/>
      <c r="AK64"/>
      <c r="AL64"/>
      <c r="AM64"/>
      <c r="AN64"/>
      <c r="AO64"/>
      <c r="AP64"/>
      <c r="AQ64"/>
      <c r="AR64"/>
      <c r="AS64"/>
      <c r="AT64"/>
      <c r="AU64"/>
      <c r="AV64"/>
      <c r="AW64"/>
    </row>
    <row r="65" spans="1:50" x14ac:dyDescent="0.55000000000000004">
      <c r="A65"/>
      <c r="B65"/>
      <c r="C65"/>
      <c r="D65"/>
      <c r="F65"/>
      <c r="G65"/>
      <c r="H65"/>
      <c r="I65"/>
      <c r="M65"/>
      <c r="N65"/>
      <c r="O65"/>
      <c r="P65"/>
      <c r="Q65"/>
      <c r="R65"/>
      <c r="S65"/>
      <c r="T65"/>
      <c r="U65" s="65"/>
      <c r="W65"/>
      <c r="X65"/>
      <c r="Y65"/>
      <c r="Z65"/>
      <c r="AG65"/>
      <c r="AH65"/>
      <c r="AI65"/>
      <c r="AJ65"/>
      <c r="AQ65"/>
      <c r="AR65"/>
      <c r="AS65"/>
      <c r="AT65"/>
    </row>
    <row r="66" spans="1:50" x14ac:dyDescent="0.55000000000000004">
      <c r="A66"/>
      <c r="B66"/>
      <c r="C66"/>
      <c r="D66"/>
      <c r="F66"/>
      <c r="G66"/>
      <c r="H66"/>
      <c r="I66"/>
      <c r="M66"/>
      <c r="N66"/>
      <c r="O66"/>
      <c r="P66"/>
      <c r="Q66"/>
      <c r="R66"/>
      <c r="S66"/>
      <c r="T66"/>
      <c r="U66" s="65"/>
      <c r="W66"/>
      <c r="X66"/>
      <c r="Y66"/>
      <c r="Z66"/>
      <c r="AG66"/>
      <c r="AH66"/>
      <c r="AI66"/>
      <c r="AJ66"/>
      <c r="AQ66"/>
      <c r="AR66"/>
      <c r="AS66"/>
      <c r="AT66"/>
    </row>
    <row r="67" spans="1:50" x14ac:dyDescent="0.55000000000000004">
      <c r="A67"/>
      <c r="B67"/>
      <c r="C67"/>
      <c r="D67"/>
      <c r="F67"/>
      <c r="G67"/>
      <c r="H67"/>
      <c r="I67"/>
      <c r="M67"/>
      <c r="N67"/>
      <c r="O67"/>
      <c r="P67"/>
      <c r="Q67"/>
      <c r="R67"/>
      <c r="S67"/>
      <c r="T67"/>
      <c r="U67" s="65"/>
      <c r="W67"/>
      <c r="X67"/>
      <c r="Y67"/>
      <c r="Z67"/>
      <c r="AG67"/>
      <c r="AH67"/>
      <c r="AI67"/>
      <c r="AJ67"/>
      <c r="AQ67"/>
      <c r="AR67"/>
      <c r="AS67"/>
      <c r="AT67"/>
    </row>
    <row r="68" spans="1:50" x14ac:dyDescent="0.55000000000000004">
      <c r="A68"/>
      <c r="B68"/>
      <c r="C68"/>
      <c r="D68"/>
      <c r="F68"/>
      <c r="G68"/>
      <c r="H68"/>
      <c r="I68"/>
      <c r="M68"/>
      <c r="N68"/>
      <c r="O68"/>
      <c r="P68"/>
      <c r="Q68"/>
      <c r="R68"/>
      <c r="S68"/>
      <c r="T68"/>
      <c r="U68" s="65"/>
      <c r="W68"/>
      <c r="X68"/>
      <c r="Y68"/>
      <c r="Z68"/>
      <c r="AG68"/>
      <c r="AH68"/>
      <c r="AI68"/>
      <c r="AJ68"/>
      <c r="AQ68"/>
      <c r="AR68"/>
      <c r="AS68"/>
      <c r="AT68"/>
    </row>
    <row r="69" spans="1:50" x14ac:dyDescent="0.55000000000000004">
      <c r="A69"/>
      <c r="B69"/>
      <c r="C69"/>
      <c r="D69"/>
      <c r="F69"/>
      <c r="G69"/>
      <c r="H69"/>
      <c r="I69"/>
      <c r="M69"/>
      <c r="N69"/>
      <c r="O69"/>
      <c r="P69"/>
      <c r="Q69"/>
      <c r="R69"/>
      <c r="S69"/>
      <c r="T69"/>
      <c r="U69" s="65"/>
      <c r="W69"/>
      <c r="X69"/>
      <c r="Y69"/>
      <c r="Z69"/>
      <c r="AG69"/>
      <c r="AH69"/>
      <c r="AI69"/>
      <c r="AJ69"/>
      <c r="AQ69"/>
      <c r="AR69"/>
      <c r="AS69"/>
      <c r="AT69"/>
    </row>
    <row r="70" spans="1:50" x14ac:dyDescent="0.55000000000000004">
      <c r="A70"/>
      <c r="B70"/>
      <c r="C70"/>
      <c r="D70"/>
      <c r="F70"/>
      <c r="G70"/>
      <c r="H70"/>
      <c r="I70"/>
      <c r="M70"/>
      <c r="N70"/>
      <c r="O70"/>
      <c r="P70"/>
      <c r="Q70"/>
      <c r="R70"/>
      <c r="S70"/>
      <c r="T70"/>
      <c r="U70" s="65"/>
      <c r="W70"/>
      <c r="X70"/>
      <c r="Y70"/>
      <c r="Z70"/>
      <c r="AG70"/>
      <c r="AH70"/>
      <c r="AI70"/>
      <c r="AJ70"/>
      <c r="AQ70"/>
      <c r="AR70"/>
      <c r="AS70"/>
      <c r="AT70"/>
    </row>
    <row r="71" spans="1:50" x14ac:dyDescent="0.55000000000000004">
      <c r="A71"/>
      <c r="B71"/>
      <c r="C71"/>
      <c r="D71"/>
      <c r="F71"/>
      <c r="G71"/>
      <c r="H71"/>
      <c r="I71"/>
      <c r="M71"/>
      <c r="N71"/>
      <c r="O71"/>
      <c r="P71"/>
      <c r="Q71"/>
      <c r="R71"/>
      <c r="S71"/>
      <c r="T71"/>
      <c r="U71" s="65"/>
      <c r="W71"/>
      <c r="X71"/>
      <c r="Y71"/>
      <c r="Z71"/>
      <c r="AG71"/>
      <c r="AH71"/>
      <c r="AI71"/>
      <c r="AJ71"/>
      <c r="AQ71"/>
      <c r="AR71"/>
      <c r="AS71"/>
      <c r="AT71"/>
    </row>
    <row r="72" spans="1:50" x14ac:dyDescent="0.55000000000000004">
      <c r="A72"/>
      <c r="B72"/>
      <c r="C72"/>
      <c r="D72"/>
      <c r="M72"/>
      <c r="N72"/>
      <c r="O72"/>
      <c r="P72"/>
      <c r="Q72"/>
      <c r="R72"/>
      <c r="S72"/>
      <c r="T72"/>
      <c r="U72" s="65"/>
    </row>
    <row r="73" spans="1:50" x14ac:dyDescent="0.55000000000000004">
      <c r="A73"/>
      <c r="B73"/>
      <c r="C73"/>
      <c r="D73"/>
      <c r="F73" s="56"/>
      <c r="G73" s="56"/>
      <c r="H73" s="112"/>
      <c r="I73" s="56"/>
      <c r="J73" s="56"/>
      <c r="K73" s="56"/>
      <c r="L73" s="56"/>
      <c r="M73" s="56"/>
    </row>
    <row r="74" spans="1:50" x14ac:dyDescent="0.55000000000000004">
      <c r="A74"/>
      <c r="B74"/>
      <c r="C74"/>
      <c r="D74"/>
      <c r="N74" s="56"/>
      <c r="O74" s="56"/>
      <c r="P74" s="56"/>
      <c r="Q74" s="56"/>
      <c r="R74" s="56"/>
      <c r="S74" s="56"/>
      <c r="T74" s="56"/>
      <c r="U74" s="56"/>
      <c r="V74" s="56"/>
      <c r="W74" s="56"/>
      <c r="X74" s="56"/>
      <c r="Y74" s="56"/>
      <c r="Z74" s="56"/>
      <c r="AA74" s="56"/>
      <c r="AB74" s="56"/>
      <c r="AC74" s="56"/>
      <c r="AD74" s="56"/>
      <c r="AE74" s="56"/>
      <c r="AF74" s="56"/>
      <c r="AG74" s="56"/>
      <c r="AH74" s="56"/>
      <c r="AS74" s="56"/>
      <c r="AT74" s="56"/>
      <c r="AU74" s="56"/>
      <c r="AV74" s="56"/>
      <c r="AW74" s="56"/>
      <c r="AX74" s="56"/>
    </row>
    <row r="75" spans="1:50" x14ac:dyDescent="0.55000000000000004">
      <c r="A75"/>
      <c r="B75"/>
      <c r="C75"/>
      <c r="D75"/>
    </row>
    <row r="76" spans="1:50" x14ac:dyDescent="0.55000000000000004">
      <c r="A76"/>
      <c r="B76"/>
      <c r="C76"/>
      <c r="D76"/>
    </row>
    <row r="77" spans="1:50" x14ac:dyDescent="0.55000000000000004">
      <c r="A77"/>
      <c r="B77"/>
      <c r="C77"/>
      <c r="D77"/>
    </row>
    <row r="78" spans="1:50" x14ac:dyDescent="0.55000000000000004">
      <c r="A78"/>
      <c r="B78"/>
      <c r="C78"/>
      <c r="D78"/>
    </row>
    <row r="79" spans="1:50" x14ac:dyDescent="0.55000000000000004">
      <c r="A79"/>
      <c r="B79"/>
      <c r="C79"/>
      <c r="D79"/>
    </row>
    <row r="80" spans="1:50" x14ac:dyDescent="0.55000000000000004">
      <c r="A80"/>
      <c r="B80"/>
      <c r="C80"/>
      <c r="D80"/>
    </row>
    <row r="81" spans="1:50" s="56" customFormat="1" x14ac:dyDescent="0.55000000000000004">
      <c r="A81"/>
      <c r="B81"/>
      <c r="C81"/>
      <c r="D81"/>
      <c r="E81" s="51"/>
      <c r="F81" s="51"/>
      <c r="G81" s="51"/>
      <c r="H81" s="110"/>
      <c r="I81" s="51"/>
      <c r="J81" s="51"/>
      <c r="K81" s="51"/>
      <c r="L81" s="51"/>
      <c r="M81" s="51"/>
      <c r="N81" s="51"/>
      <c r="O81" s="51"/>
      <c r="P81" s="51"/>
      <c r="Q81" s="51"/>
      <c r="R81" s="51"/>
      <c r="S81" s="51"/>
      <c r="T81" s="51"/>
      <c r="U81" s="51"/>
      <c r="V81" s="51"/>
      <c r="W81" s="51"/>
      <c r="X81" s="51"/>
      <c r="Y81" s="51"/>
      <c r="Z81" s="51"/>
      <c r="AA81" s="51"/>
      <c r="AB81" s="51"/>
      <c r="AC81" s="51"/>
      <c r="AD81" s="51"/>
      <c r="AE81" s="51"/>
      <c r="AF81" s="51"/>
      <c r="AG81" s="51"/>
      <c r="AH81" s="51"/>
      <c r="AI81" s="51"/>
      <c r="AJ81" s="51"/>
      <c r="AK81" s="51"/>
      <c r="AL81" s="51"/>
      <c r="AM81" s="51"/>
      <c r="AN81" s="51"/>
      <c r="AO81" s="51"/>
      <c r="AP81" s="51"/>
      <c r="AQ81" s="51"/>
      <c r="AR81" s="51"/>
      <c r="AS81" s="51"/>
      <c r="AT81" s="51"/>
      <c r="AU81" s="51"/>
      <c r="AV81" s="51"/>
      <c r="AW81" s="51"/>
      <c r="AX81" s="51"/>
    </row>
    <row r="82" spans="1:50" x14ac:dyDescent="0.55000000000000004">
      <c r="A82"/>
      <c r="B82"/>
      <c r="C82"/>
      <c r="D82"/>
    </row>
    <row r="83" spans="1:50" x14ac:dyDescent="0.55000000000000004">
      <c r="A83"/>
      <c r="B83"/>
      <c r="C83"/>
      <c r="D83"/>
    </row>
    <row r="84" spans="1:50" x14ac:dyDescent="0.55000000000000004">
      <c r="A84"/>
      <c r="B84"/>
      <c r="C84"/>
      <c r="D84"/>
    </row>
    <row r="85" spans="1:50" x14ac:dyDescent="0.55000000000000004">
      <c r="A85"/>
      <c r="B85"/>
      <c r="C85"/>
      <c r="D85"/>
    </row>
    <row r="86" spans="1:50" x14ac:dyDescent="0.55000000000000004">
      <c r="A86"/>
      <c r="B86"/>
      <c r="C86"/>
      <c r="D86"/>
    </row>
    <row r="87" spans="1:50" x14ac:dyDescent="0.55000000000000004">
      <c r="A87"/>
      <c r="B87"/>
      <c r="C87"/>
      <c r="D87"/>
    </row>
    <row r="88" spans="1:50" x14ac:dyDescent="0.55000000000000004">
      <c r="A88"/>
      <c r="B88"/>
      <c r="C88"/>
      <c r="D88"/>
    </row>
    <row r="91" spans="1:50" x14ac:dyDescent="0.55000000000000004">
      <c r="F91" s="66"/>
    </row>
    <row r="98" outlineLevel="1" x14ac:dyDescent="0.55000000000000004"/>
    <row r="99" outlineLevel="1" x14ac:dyDescent="0.55000000000000004"/>
    <row r="100" outlineLevel="1" x14ac:dyDescent="0.55000000000000004"/>
    <row r="101" outlineLevel="1" x14ac:dyDescent="0.55000000000000004"/>
    <row r="102" outlineLevel="1" x14ac:dyDescent="0.55000000000000004"/>
    <row r="103" outlineLevel="1" x14ac:dyDescent="0.55000000000000004"/>
    <row r="104" outlineLevel="1" x14ac:dyDescent="0.55000000000000004"/>
    <row r="105" outlineLevel="1" x14ac:dyDescent="0.55000000000000004"/>
    <row r="106" outlineLevel="1" x14ac:dyDescent="0.55000000000000004"/>
    <row r="107" outlineLevel="1" x14ac:dyDescent="0.55000000000000004"/>
    <row r="108" outlineLevel="1" x14ac:dyDescent="0.55000000000000004"/>
    <row r="112" outlineLevel="1" x14ac:dyDescent="0.55000000000000004"/>
    <row r="113" spans="1:50" outlineLevel="1" x14ac:dyDescent="0.55000000000000004"/>
    <row r="114" spans="1:50" outlineLevel="1" x14ac:dyDescent="0.55000000000000004">
      <c r="A114" s="56"/>
      <c r="B114" s="56"/>
      <c r="C114" s="56"/>
      <c r="D114" s="56"/>
      <c r="E114" s="56"/>
    </row>
    <row r="115" spans="1:50" outlineLevel="1" x14ac:dyDescent="0.55000000000000004"/>
    <row r="116" spans="1:50" outlineLevel="1" x14ac:dyDescent="0.55000000000000004"/>
    <row r="117" spans="1:50" outlineLevel="1" x14ac:dyDescent="0.55000000000000004"/>
    <row r="118" spans="1:50" outlineLevel="1" x14ac:dyDescent="0.55000000000000004"/>
    <row r="119" spans="1:50" outlineLevel="1" x14ac:dyDescent="0.55000000000000004"/>
    <row r="120" spans="1:50" outlineLevel="1" x14ac:dyDescent="0.55000000000000004"/>
    <row r="121" spans="1:50" outlineLevel="1" x14ac:dyDescent="0.55000000000000004"/>
    <row r="122" spans="1:50" outlineLevel="1" x14ac:dyDescent="0.55000000000000004"/>
    <row r="123" spans="1:50" outlineLevel="1" x14ac:dyDescent="0.55000000000000004"/>
    <row r="124" spans="1:50" outlineLevel="1" x14ac:dyDescent="0.55000000000000004"/>
    <row r="125" spans="1:50" outlineLevel="1" x14ac:dyDescent="0.55000000000000004"/>
    <row r="126" spans="1:50" outlineLevel="1" x14ac:dyDescent="0.55000000000000004"/>
    <row r="127" spans="1:50" outlineLevel="1" x14ac:dyDescent="0.55000000000000004">
      <c r="F127" s="56"/>
      <c r="G127" s="56"/>
      <c r="H127" s="112"/>
      <c r="I127" s="56"/>
      <c r="J127" s="56"/>
      <c r="K127" s="56"/>
      <c r="L127" s="56"/>
      <c r="M127" s="56"/>
    </row>
    <row r="128" spans="1:50" outlineLevel="1" x14ac:dyDescent="0.55000000000000004">
      <c r="N128" s="56"/>
      <c r="O128" s="56"/>
      <c r="P128" s="56"/>
      <c r="Q128" s="56"/>
      <c r="R128" s="56"/>
      <c r="S128" s="56"/>
      <c r="T128" s="56"/>
      <c r="U128" s="56"/>
      <c r="V128" s="56"/>
      <c r="W128" s="56"/>
      <c r="X128" s="56"/>
      <c r="Y128" s="56"/>
      <c r="Z128" s="56"/>
      <c r="AA128" s="56"/>
      <c r="AB128" s="56"/>
      <c r="AC128" s="56"/>
      <c r="AD128" s="56"/>
      <c r="AE128" s="56"/>
      <c r="AF128" s="56"/>
      <c r="AG128" s="56"/>
      <c r="AH128" s="56"/>
      <c r="AS128" s="56"/>
      <c r="AT128" s="56"/>
      <c r="AU128" s="56"/>
      <c r="AV128" s="56"/>
      <c r="AW128" s="56"/>
      <c r="AX128" s="56"/>
    </row>
    <row r="129" spans="1:50" outlineLevel="1" x14ac:dyDescent="0.55000000000000004"/>
    <row r="130" spans="1:50" outlineLevel="1" x14ac:dyDescent="0.55000000000000004"/>
    <row r="131" spans="1:50" outlineLevel="1" x14ac:dyDescent="0.55000000000000004"/>
    <row r="132" spans="1:50" outlineLevel="1" x14ac:dyDescent="0.55000000000000004"/>
    <row r="133" spans="1:50" outlineLevel="1" x14ac:dyDescent="0.55000000000000004"/>
    <row r="134" spans="1:50" outlineLevel="1" x14ac:dyDescent="0.55000000000000004"/>
    <row r="135" spans="1:50" s="56" customFormat="1" outlineLevel="1" x14ac:dyDescent="0.55000000000000004">
      <c r="A135" s="51"/>
      <c r="B135" s="51"/>
      <c r="C135" s="51"/>
      <c r="D135" s="51"/>
      <c r="E135" s="51"/>
      <c r="F135" s="51"/>
      <c r="G135" s="51"/>
      <c r="H135" s="110"/>
      <c r="I135" s="51"/>
      <c r="J135" s="51"/>
      <c r="K135" s="51"/>
      <c r="L135" s="51"/>
      <c r="M135" s="51"/>
      <c r="N135" s="51"/>
      <c r="O135" s="51"/>
      <c r="P135" s="51"/>
      <c r="Q135" s="51"/>
      <c r="R135" s="51"/>
      <c r="S135" s="51"/>
      <c r="T135" s="51"/>
      <c r="U135" s="51"/>
      <c r="V135" s="51"/>
      <c r="W135" s="51"/>
      <c r="X135" s="51"/>
      <c r="Y135" s="51"/>
      <c r="Z135" s="51"/>
      <c r="AA135" s="51"/>
      <c r="AB135" s="51"/>
      <c r="AC135" s="51"/>
      <c r="AD135" s="51"/>
      <c r="AE135" s="51"/>
      <c r="AF135" s="51"/>
      <c r="AG135" s="51"/>
      <c r="AH135" s="51"/>
      <c r="AI135" s="51"/>
      <c r="AJ135" s="51"/>
      <c r="AK135" s="51"/>
      <c r="AL135" s="51"/>
      <c r="AM135" s="51"/>
      <c r="AN135" s="51"/>
      <c r="AO135" s="51"/>
      <c r="AP135" s="51"/>
      <c r="AQ135" s="51"/>
      <c r="AR135" s="51"/>
      <c r="AS135" s="51"/>
      <c r="AT135" s="51"/>
      <c r="AU135" s="51"/>
      <c r="AV135" s="51"/>
      <c r="AW135" s="51"/>
      <c r="AX135" s="51"/>
    </row>
    <row r="136" spans="1:50" outlineLevel="1" x14ac:dyDescent="0.55000000000000004"/>
    <row r="137" spans="1:50" outlineLevel="1" x14ac:dyDescent="0.55000000000000004"/>
    <row r="138" spans="1:50" outlineLevel="1" x14ac:dyDescent="0.55000000000000004"/>
    <row r="139" spans="1:50" outlineLevel="1" x14ac:dyDescent="0.55000000000000004"/>
    <row r="140" spans="1:50" ht="21" customHeight="1" outlineLevel="1" x14ac:dyDescent="0.55000000000000004"/>
    <row r="143" spans="1:50" outlineLevel="1" x14ac:dyDescent="0.55000000000000004"/>
    <row r="144" spans="1:50" outlineLevel="1" x14ac:dyDescent="0.55000000000000004"/>
    <row r="145" outlineLevel="1" x14ac:dyDescent="0.55000000000000004"/>
    <row r="146" outlineLevel="1" x14ac:dyDescent="0.55000000000000004"/>
    <row r="147" outlineLevel="1" x14ac:dyDescent="0.55000000000000004"/>
    <row r="148" outlineLevel="1" x14ac:dyDescent="0.55000000000000004"/>
    <row r="149" outlineLevel="1" x14ac:dyDescent="0.55000000000000004"/>
    <row r="150" outlineLevel="1" x14ac:dyDescent="0.55000000000000004"/>
    <row r="151" outlineLevel="1" x14ac:dyDescent="0.55000000000000004"/>
    <row r="152" outlineLevel="1" x14ac:dyDescent="0.55000000000000004"/>
    <row r="153" outlineLevel="1" x14ac:dyDescent="0.55000000000000004"/>
    <row r="154" outlineLevel="1" x14ac:dyDescent="0.55000000000000004"/>
    <row r="155" outlineLevel="1" x14ac:dyDescent="0.55000000000000004"/>
    <row r="156" outlineLevel="1" x14ac:dyDescent="0.55000000000000004"/>
    <row r="157" outlineLevel="1" x14ac:dyDescent="0.55000000000000004"/>
    <row r="158" outlineLevel="1" x14ac:dyDescent="0.55000000000000004"/>
    <row r="159" outlineLevel="1" x14ac:dyDescent="0.55000000000000004"/>
    <row r="160" outlineLevel="1" x14ac:dyDescent="0.55000000000000004"/>
    <row r="161" outlineLevel="1" x14ac:dyDescent="0.55000000000000004"/>
    <row r="162" outlineLevel="1" x14ac:dyDescent="0.55000000000000004"/>
    <row r="163" outlineLevel="1" x14ac:dyDescent="0.55000000000000004"/>
    <row r="164" outlineLevel="1" x14ac:dyDescent="0.55000000000000004"/>
    <row r="165" outlineLevel="1" x14ac:dyDescent="0.55000000000000004"/>
    <row r="166" outlineLevel="1" x14ac:dyDescent="0.55000000000000004"/>
    <row r="167" outlineLevel="1" x14ac:dyDescent="0.55000000000000004"/>
    <row r="168" outlineLevel="1" x14ac:dyDescent="0.55000000000000004"/>
    <row r="169" outlineLevel="1" x14ac:dyDescent="0.55000000000000004"/>
    <row r="170" outlineLevel="1" x14ac:dyDescent="0.55000000000000004"/>
    <row r="174" outlineLevel="1" x14ac:dyDescent="0.55000000000000004"/>
    <row r="175" outlineLevel="1" x14ac:dyDescent="0.55000000000000004"/>
    <row r="176" outlineLevel="1" x14ac:dyDescent="0.55000000000000004"/>
    <row r="177" outlineLevel="1" x14ac:dyDescent="0.55000000000000004"/>
    <row r="178" outlineLevel="1" x14ac:dyDescent="0.55000000000000004"/>
    <row r="179" outlineLevel="1" x14ac:dyDescent="0.55000000000000004"/>
    <row r="180" outlineLevel="1" x14ac:dyDescent="0.55000000000000004"/>
    <row r="181" outlineLevel="1" x14ac:dyDescent="0.55000000000000004"/>
    <row r="182" outlineLevel="1" x14ac:dyDescent="0.55000000000000004"/>
    <row r="183" outlineLevel="1" x14ac:dyDescent="0.55000000000000004"/>
    <row r="184" outlineLevel="1" x14ac:dyDescent="0.55000000000000004"/>
    <row r="185" outlineLevel="1" x14ac:dyDescent="0.55000000000000004"/>
    <row r="186" outlineLevel="1" x14ac:dyDescent="0.55000000000000004"/>
    <row r="187" outlineLevel="1" x14ac:dyDescent="0.55000000000000004"/>
    <row r="188" outlineLevel="1" x14ac:dyDescent="0.55000000000000004"/>
    <row r="189" outlineLevel="1" x14ac:dyDescent="0.55000000000000004"/>
    <row r="190" outlineLevel="1" x14ac:dyDescent="0.55000000000000004"/>
    <row r="191" outlineLevel="1" x14ac:dyDescent="0.55000000000000004"/>
    <row r="192" outlineLevel="1" x14ac:dyDescent="0.55000000000000004"/>
    <row r="193" outlineLevel="1" x14ac:dyDescent="0.55000000000000004"/>
    <row r="194" outlineLevel="1" x14ac:dyDescent="0.55000000000000004"/>
    <row r="195" outlineLevel="1" x14ac:dyDescent="0.55000000000000004"/>
    <row r="196" outlineLevel="1" x14ac:dyDescent="0.55000000000000004"/>
    <row r="197" outlineLevel="1" x14ac:dyDescent="0.55000000000000004"/>
    <row r="198" outlineLevel="1" x14ac:dyDescent="0.55000000000000004"/>
    <row r="199" outlineLevel="1" x14ac:dyDescent="0.55000000000000004"/>
    <row r="200" outlineLevel="1" x14ac:dyDescent="0.55000000000000004"/>
    <row r="201" outlineLevel="1" x14ac:dyDescent="0.55000000000000004"/>
  </sheetData>
  <sheetProtection selectLockedCells="1" selectUnlockedCells="1"/>
  <hyperlinks>
    <hyperlink ref="D21" r:id="rId7" xr:uid="{39BC8156-6755-4FD3-AAA6-833FB602722F}"/>
    <hyperlink ref="D22" r:id="rId8" xr:uid="{6EB89D49-744B-41B0-A78B-4778613D2E6D}"/>
    <hyperlink ref="E14" r:id="rId9" display="https://kobra.uni-kassel.de/handle/123456789/11497" xr:uid="{C44706F7-5CB9-4392-B2CA-59738624369E}"/>
  </hyperlinks>
  <pageMargins left="0.7" right="0.7" top="0.78740157499999996" bottom="0.78740157499999996" header="0.3" footer="0.3"/>
  <pageSetup paperSize="9" scale="35" orientation="landscape" r:id="rId10"/>
  <headerFooter>
    <oddHeader>&amp;CLeitRess | Bauteil-LCA&amp;R2023</oddHeader>
  </headerFooter>
  <rowBreaks count="1" manualBreakCount="1">
    <brk id="56" max="28" man="1"/>
  </rowBreaks>
  <colBreaks count="5" manualBreakCount="5">
    <brk id="5" max="52" man="1"/>
    <brk id="12" max="1048575" man="1"/>
    <brk id="22" max="1048575" man="1"/>
    <brk id="32" max="1048575" man="1"/>
    <brk id="42" max="1048575" man="1"/>
  </colBreaks>
  <tableParts count="2">
    <tablePart r:id="rId11"/>
    <tablePart r:id="rId1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F73A82-C115-4012-A88D-E7D0351ACEC1}">
  <sheetPr codeName="Tabelle1">
    <tabColor theme="8" tint="0.59999389629810485"/>
  </sheetPr>
  <dimension ref="A1:BA167"/>
  <sheetViews>
    <sheetView view="pageLayout" topLeftCell="A11" zoomScale="55" zoomScaleNormal="55" zoomScaleSheetLayoutView="55" zoomScalePageLayoutView="55" workbookViewId="0">
      <selection activeCell="B29" sqref="B29"/>
    </sheetView>
  </sheetViews>
  <sheetFormatPr baseColWidth="10" defaultColWidth="9.1328125" defaultRowHeight="21" outlineLevelRow="1" outlineLevelCol="1" x14ac:dyDescent="0.65"/>
  <cols>
    <col min="1" max="1" width="25.53125" style="82" customWidth="1"/>
    <col min="2" max="2" width="41.6640625" style="82" customWidth="1"/>
    <col min="3" max="3" width="15.6640625" style="82" customWidth="1"/>
    <col min="4" max="4" width="30.53125" style="82" customWidth="1"/>
    <col min="5" max="5" width="24.86328125" style="82" hidden="1" customWidth="1" outlineLevel="1"/>
    <col min="6" max="6" width="14.46484375" style="82" customWidth="1" collapsed="1"/>
    <col min="7" max="7" width="31.86328125" style="82" customWidth="1"/>
    <col min="8" max="8" width="23.86328125" style="82" customWidth="1"/>
    <col min="9" max="9" width="25.53125" style="82" customWidth="1"/>
    <col min="10" max="10" width="22.53125" style="82" customWidth="1"/>
    <col min="11" max="11" width="21.46484375" style="82" customWidth="1" outlineLevel="1"/>
    <col min="12" max="12" width="21.53125" style="82" customWidth="1" outlineLevel="1" collapsed="1"/>
    <col min="13" max="13" width="21.46484375" style="82" customWidth="1"/>
    <col min="14" max="14" width="21.53125" style="82" customWidth="1"/>
    <col min="15" max="15" width="21.46484375" style="82" hidden="1" customWidth="1" outlineLevel="1"/>
    <col min="16" max="16" width="20.46484375" style="82" hidden="1" customWidth="1" outlineLevel="1"/>
    <col min="17" max="17" width="29" style="82" hidden="1" customWidth="1" outlineLevel="1"/>
    <col min="18" max="18" width="22.53125" style="82" customWidth="1" collapsed="1"/>
    <col min="19" max="19" width="22.46484375" style="82" hidden="1" customWidth="1" outlineLevel="1"/>
    <col min="20" max="20" width="22.53125" style="82" customWidth="1" collapsed="1"/>
    <col min="21" max="21" width="20.1328125" style="82" customWidth="1"/>
    <col min="22" max="22" width="25" style="82" customWidth="1" collapsed="1"/>
    <col min="23" max="23" width="19.53125" style="82" customWidth="1"/>
    <col min="24" max="24" width="22.53125" style="82" customWidth="1"/>
    <col min="25" max="25" width="21.86328125" style="82" customWidth="1"/>
    <col min="26" max="26" width="19.46484375" style="82" customWidth="1"/>
    <col min="27" max="27" width="18.1328125" style="82" customWidth="1"/>
    <col min="28" max="28" width="29" style="82" customWidth="1"/>
    <col min="29" max="29" width="26.86328125" style="82" customWidth="1"/>
    <col min="30" max="30" width="22.53125" style="82" customWidth="1"/>
    <col min="31" max="31" width="22.46484375" style="82" hidden="1" customWidth="1" outlineLevel="1"/>
    <col min="32" max="32" width="25" style="82" hidden="1" customWidth="1" outlineLevel="1"/>
    <col min="33" max="33" width="25.53125" style="82" hidden="1" customWidth="1" outlineLevel="1"/>
    <col min="34" max="34" width="22.86328125" style="82" hidden="1" customWidth="1" outlineLevel="1"/>
    <col min="35" max="35" width="29.53125" style="82" hidden="1" customWidth="1" outlineLevel="1"/>
    <col min="36" max="36" width="28.53125" style="82" hidden="1" customWidth="1" outlineLevel="1"/>
    <col min="37" max="37" width="40.1328125" style="82" hidden="1" customWidth="1" outlineLevel="1"/>
    <col min="38" max="39" width="54.46484375" style="82" hidden="1" customWidth="1" outlineLevel="1"/>
    <col min="40" max="41" width="54.86328125" style="82" hidden="1" customWidth="1" outlineLevel="1"/>
    <col min="42" max="42" width="45" style="82" hidden="1" customWidth="1" outlineLevel="1"/>
    <col min="43" max="43" width="36.1328125" style="82" hidden="1" customWidth="1" outlineLevel="1"/>
    <col min="44" max="44" width="36.53125" style="82" hidden="1" customWidth="1" outlineLevel="1"/>
    <col min="45" max="45" width="36.1328125" style="82" hidden="1" customWidth="1" outlineLevel="1"/>
    <col min="46" max="46" width="36.53125" style="82" hidden="1" customWidth="1" outlineLevel="1"/>
    <col min="47" max="47" width="36.1328125" style="82" hidden="1" customWidth="1" outlineLevel="1"/>
    <col min="48" max="48" width="27.46484375" style="82" hidden="1" customWidth="1" outlineLevel="1"/>
    <col min="49" max="49" width="27.53125" style="82" hidden="1" customWidth="1" outlineLevel="1"/>
    <col min="50" max="50" width="27.46484375" style="82" hidden="1" customWidth="1" outlineLevel="1"/>
    <col min="51" max="51" width="27.53125" style="82" hidden="1" customWidth="1" outlineLevel="1"/>
    <col min="52" max="52" width="34" style="82" hidden="1" customWidth="1" outlineLevel="1"/>
    <col min="53" max="53" width="9.1328125" style="82" customWidth="1" collapsed="1"/>
    <col min="54" max="63" width="9.1328125" style="82" customWidth="1"/>
    <col min="64" max="16384" width="9.1328125" style="82"/>
  </cols>
  <sheetData>
    <row r="1" spans="1:52" x14ac:dyDescent="0.65">
      <c r="A1" s="79" t="s">
        <v>126</v>
      </c>
      <c r="B1" s="79"/>
      <c r="C1" s="80"/>
      <c r="D1" s="79"/>
      <c r="E1" s="79"/>
      <c r="F1" s="79"/>
      <c r="G1" s="79"/>
      <c r="H1" s="79"/>
      <c r="I1" s="79"/>
      <c r="J1" s="79"/>
      <c r="K1" s="79"/>
      <c r="L1" s="79"/>
      <c r="M1" s="79"/>
      <c r="N1" s="79"/>
      <c r="O1" s="79"/>
      <c r="P1" s="79"/>
      <c r="Q1" s="79"/>
      <c r="R1" s="79"/>
      <c r="S1" s="79"/>
      <c r="T1" s="79"/>
      <c r="U1" s="79"/>
      <c r="V1" s="79"/>
      <c r="W1" s="79"/>
      <c r="X1" s="79"/>
      <c r="Y1" s="79"/>
      <c r="Z1" s="79"/>
      <c r="AA1" s="81"/>
      <c r="AC1" s="79"/>
      <c r="AD1" s="79"/>
    </row>
    <row r="2" spans="1:52" x14ac:dyDescent="0.65">
      <c r="A2" s="113"/>
      <c r="C2" s="114"/>
      <c r="Z2" s="113"/>
      <c r="AA2" s="113"/>
      <c r="AB2" s="83"/>
      <c r="AC2" s="83"/>
      <c r="AD2" s="83"/>
      <c r="AE2" s="83"/>
      <c r="AF2" s="83"/>
      <c r="AG2" s="83"/>
    </row>
    <row r="3" spans="1:52" x14ac:dyDescent="0.65">
      <c r="A3" s="115" t="s">
        <v>20</v>
      </c>
      <c r="B3" s="115"/>
      <c r="C3" s="114"/>
      <c r="D3" s="115"/>
      <c r="G3" s="84"/>
      <c r="H3" s="84"/>
      <c r="I3" s="84"/>
      <c r="J3" s="84"/>
      <c r="AB3" s="85"/>
      <c r="AC3" s="85"/>
      <c r="AD3" s="85"/>
      <c r="AE3" s="85"/>
    </row>
    <row r="4" spans="1:52" x14ac:dyDescent="0.65">
      <c r="A4" s="82" t="s">
        <v>21</v>
      </c>
      <c r="C4" s="114"/>
      <c r="D4" s="116"/>
      <c r="G4" s="86"/>
      <c r="H4" s="86"/>
      <c r="I4" s="86"/>
      <c r="J4" s="86"/>
      <c r="Z4" s="85"/>
      <c r="AA4" s="85"/>
      <c r="AB4" s="85"/>
      <c r="AC4" s="85"/>
      <c r="AD4" s="85"/>
      <c r="AE4" s="85"/>
    </row>
    <row r="5" spans="1:52" x14ac:dyDescent="0.65">
      <c r="C5" s="114"/>
      <c r="D5" s="116"/>
      <c r="G5" s="86"/>
      <c r="H5" s="86"/>
      <c r="I5" s="86"/>
      <c r="J5" s="86"/>
      <c r="Z5" s="85"/>
      <c r="AA5" s="85"/>
      <c r="AB5" s="85"/>
      <c r="AC5" s="85"/>
      <c r="AD5" s="85"/>
      <c r="AE5" s="85"/>
    </row>
    <row r="7" spans="1:52" x14ac:dyDescent="0.65">
      <c r="A7" s="82" t="s">
        <v>127</v>
      </c>
      <c r="B7" s="117"/>
    </row>
    <row r="8" spans="1:52" x14ac:dyDescent="0.65">
      <c r="A8" s="118"/>
      <c r="B8" s="117" t="s">
        <v>128</v>
      </c>
      <c r="D8" s="117"/>
      <c r="E8" s="117"/>
    </row>
    <row r="9" spans="1:52" x14ac:dyDescent="0.65">
      <c r="A9" s="119"/>
      <c r="B9" s="117" t="s">
        <v>129</v>
      </c>
      <c r="D9" s="117"/>
      <c r="E9" s="117"/>
    </row>
    <row r="10" spans="1:52" x14ac:dyDescent="0.65">
      <c r="A10" s="120"/>
      <c r="B10" s="117" t="s">
        <v>130</v>
      </c>
      <c r="D10" s="117"/>
      <c r="E10" s="117"/>
    </row>
    <row r="11" spans="1:52" x14ac:dyDescent="0.65">
      <c r="A11" s="121"/>
      <c r="B11" s="117" t="s">
        <v>131</v>
      </c>
    </row>
    <row r="12" spans="1:52" x14ac:dyDescent="0.65">
      <c r="A12" s="122" t="s">
        <v>132</v>
      </c>
    </row>
    <row r="13" spans="1:52" hidden="1" outlineLevel="1" x14ac:dyDescent="0.65">
      <c r="A13" s="123" t="s">
        <v>133</v>
      </c>
      <c r="B13" s="123"/>
      <c r="C13" s="123"/>
      <c r="D13" s="116"/>
      <c r="G13" s="86"/>
      <c r="H13" s="86"/>
      <c r="I13" s="86"/>
      <c r="J13" s="86"/>
      <c r="Z13" s="85"/>
      <c r="AA13" s="85"/>
      <c r="AB13" s="124"/>
      <c r="AC13" s="124"/>
      <c r="AD13" s="85"/>
      <c r="AE13" s="85"/>
    </row>
    <row r="14" spans="1:52" s="84" customFormat="1" ht="189" hidden="1" outlineLevel="1" x14ac:dyDescent="0.65">
      <c r="A14" s="84" t="s">
        <v>134</v>
      </c>
      <c r="C14" s="125" t="s">
        <v>135</v>
      </c>
      <c r="D14" s="84" t="s">
        <v>136</v>
      </c>
      <c r="E14" s="84" t="s">
        <v>137</v>
      </c>
      <c r="F14" s="84" t="s">
        <v>138</v>
      </c>
      <c r="G14" s="84" t="s">
        <v>139</v>
      </c>
      <c r="H14" s="126" t="s">
        <v>140</v>
      </c>
      <c r="I14" s="84" t="s">
        <v>141</v>
      </c>
      <c r="J14" s="84" t="s">
        <v>142</v>
      </c>
      <c r="K14" s="126" t="s">
        <v>143</v>
      </c>
      <c r="L14" s="84" t="s">
        <v>144</v>
      </c>
      <c r="M14" s="84" t="s">
        <v>145</v>
      </c>
      <c r="N14" s="84" t="s">
        <v>142</v>
      </c>
      <c r="O14" s="84" t="s">
        <v>146</v>
      </c>
      <c r="P14" s="84" t="s">
        <v>144</v>
      </c>
      <c r="Q14" s="84" t="s">
        <v>144</v>
      </c>
      <c r="R14" s="84" t="s">
        <v>146</v>
      </c>
      <c r="S14" s="84" t="s">
        <v>146</v>
      </c>
      <c r="T14" s="84" t="s">
        <v>146</v>
      </c>
      <c r="U14" s="127"/>
      <c r="V14" s="127" t="s">
        <v>147</v>
      </c>
      <c r="W14" s="127" t="s">
        <v>148</v>
      </c>
      <c r="X14" s="127" t="s">
        <v>148</v>
      </c>
      <c r="Y14" s="127" t="s">
        <v>148</v>
      </c>
      <c r="Z14" s="127" t="s">
        <v>148</v>
      </c>
      <c r="AE14" s="84" t="s">
        <v>149</v>
      </c>
    </row>
    <row r="15" spans="1:52" ht="74.099999999999994" hidden="1" customHeight="1" outlineLevel="1" x14ac:dyDescent="0.65">
      <c r="A15" s="82" t="s">
        <v>149</v>
      </c>
      <c r="E15" s="82" t="s">
        <v>150</v>
      </c>
      <c r="F15" s="84"/>
      <c r="H15" s="86" t="s">
        <v>151</v>
      </c>
      <c r="I15" s="82" t="s">
        <v>152</v>
      </c>
      <c r="K15" s="86" t="s">
        <v>153</v>
      </c>
      <c r="L15" s="82" t="s">
        <v>154</v>
      </c>
      <c r="O15" s="82" t="s">
        <v>155</v>
      </c>
      <c r="P15" s="82" t="s">
        <v>154</v>
      </c>
      <c r="Q15" s="82" t="s">
        <v>154</v>
      </c>
      <c r="R15" s="84" t="s">
        <v>156</v>
      </c>
      <c r="S15" s="82" t="s">
        <v>157</v>
      </c>
      <c r="T15" s="82" t="s">
        <v>158</v>
      </c>
      <c r="U15" s="85"/>
      <c r="V15" s="85"/>
      <c r="W15" s="85" t="s">
        <v>159</v>
      </c>
      <c r="X15" s="85" t="s">
        <v>160</v>
      </c>
      <c r="Y15" s="85" t="s">
        <v>161</v>
      </c>
      <c r="Z15" s="85" t="s">
        <v>161</v>
      </c>
      <c r="AE15" s="82" t="s">
        <v>162</v>
      </c>
    </row>
    <row r="16" spans="1:52" ht="42" hidden="1" customHeight="1" outlineLevel="1" x14ac:dyDescent="0.65">
      <c r="A16" s="82" t="s">
        <v>163</v>
      </c>
      <c r="B16" s="82" t="s">
        <v>164</v>
      </c>
      <c r="C16" s="114" t="s">
        <v>165</v>
      </c>
      <c r="D16" s="82" t="s">
        <v>164</v>
      </c>
      <c r="E16" s="82" t="s">
        <v>164</v>
      </c>
      <c r="F16" s="84" t="s">
        <v>149</v>
      </c>
      <c r="G16" s="82" t="s">
        <v>164</v>
      </c>
      <c r="H16" s="86" t="s">
        <v>166</v>
      </c>
      <c r="I16" s="86" t="s">
        <v>166</v>
      </c>
      <c r="J16" s="86" t="s">
        <v>167</v>
      </c>
      <c r="K16" s="86" t="s">
        <v>149</v>
      </c>
      <c r="L16" s="86" t="s">
        <v>149</v>
      </c>
      <c r="M16" s="82" t="s">
        <v>168</v>
      </c>
      <c r="N16" s="86" t="s">
        <v>167</v>
      </c>
      <c r="R16" s="86" t="s">
        <v>149</v>
      </c>
      <c r="S16" s="86" t="s">
        <v>149</v>
      </c>
      <c r="T16" s="86" t="s">
        <v>149</v>
      </c>
      <c r="U16" s="86" t="s">
        <v>164</v>
      </c>
      <c r="V16" s="85"/>
      <c r="W16" s="86" t="s">
        <v>167</v>
      </c>
      <c r="X16" s="86" t="s">
        <v>167</v>
      </c>
      <c r="Y16" s="86" t="s">
        <v>167</v>
      </c>
      <c r="Z16" s="82" t="s">
        <v>149</v>
      </c>
      <c r="AA16" s="86" t="s">
        <v>167</v>
      </c>
      <c r="AB16" s="86" t="s">
        <v>167</v>
      </c>
      <c r="AC16" s="86" t="s">
        <v>167</v>
      </c>
      <c r="AD16" s="86" t="s">
        <v>167</v>
      </c>
      <c r="AE16" s="82" t="s">
        <v>149</v>
      </c>
      <c r="AF16" s="82" t="s">
        <v>149</v>
      </c>
      <c r="AG16" s="82" t="s">
        <v>149</v>
      </c>
      <c r="AH16" s="82" t="s">
        <v>149</v>
      </c>
      <c r="AI16" s="82" t="s">
        <v>149</v>
      </c>
      <c r="AJ16" s="82" t="s">
        <v>149</v>
      </c>
      <c r="AK16" s="82" t="s">
        <v>149</v>
      </c>
      <c r="AL16" s="82" t="s">
        <v>149</v>
      </c>
      <c r="AM16" s="82" t="s">
        <v>149</v>
      </c>
      <c r="AN16" s="82" t="s">
        <v>149</v>
      </c>
      <c r="AO16" s="82" t="s">
        <v>149</v>
      </c>
      <c r="AP16" s="82" t="s">
        <v>149</v>
      </c>
      <c r="AQ16" s="82" t="s">
        <v>149</v>
      </c>
      <c r="AR16" s="82" t="s">
        <v>149</v>
      </c>
      <c r="AS16" s="82" t="s">
        <v>149</v>
      </c>
      <c r="AT16" s="82" t="s">
        <v>149</v>
      </c>
      <c r="AU16" s="82" t="s">
        <v>149</v>
      </c>
      <c r="AV16" s="82" t="s">
        <v>149</v>
      </c>
      <c r="AW16" s="82" t="s">
        <v>149</v>
      </c>
      <c r="AX16" s="82" t="s">
        <v>149</v>
      </c>
      <c r="AY16" s="82" t="s">
        <v>149</v>
      </c>
      <c r="AZ16" s="82" t="s">
        <v>149</v>
      </c>
    </row>
    <row r="17" spans="1:52" ht="27.6" customHeight="1" collapsed="1" x14ac:dyDescent="0.65">
      <c r="A17" s="88" t="s">
        <v>169</v>
      </c>
      <c r="B17" s="88"/>
      <c r="C17" s="88"/>
      <c r="F17" s="84"/>
      <c r="H17" s="86"/>
      <c r="K17" s="86"/>
      <c r="V17" s="84"/>
      <c r="Z17" s="85"/>
      <c r="AA17" s="85"/>
      <c r="AB17" s="85"/>
      <c r="AC17" s="85"/>
      <c r="AD17" s="85"/>
      <c r="AE17" s="85"/>
    </row>
    <row r="18" spans="1:52" s="89" customFormat="1" ht="79.349999999999994" customHeight="1" x14ac:dyDescent="0.65">
      <c r="A18" s="71" t="s">
        <v>170</v>
      </c>
      <c r="B18" s="71" t="s">
        <v>171</v>
      </c>
      <c r="C18" s="71" t="s">
        <v>172</v>
      </c>
      <c r="D18" s="71" t="s">
        <v>173</v>
      </c>
      <c r="E18" s="71" t="s">
        <v>174</v>
      </c>
      <c r="F18" s="71" t="s">
        <v>175</v>
      </c>
      <c r="G18" s="71" t="s">
        <v>176</v>
      </c>
      <c r="H18" s="71" t="s">
        <v>177</v>
      </c>
      <c r="I18" s="71" t="s">
        <v>178</v>
      </c>
      <c r="J18" s="71" t="s">
        <v>179</v>
      </c>
      <c r="K18" s="71" t="s">
        <v>180</v>
      </c>
      <c r="L18" s="71" t="s">
        <v>181</v>
      </c>
      <c r="M18" s="71" t="s">
        <v>182</v>
      </c>
      <c r="N18" s="71" t="s">
        <v>183</v>
      </c>
      <c r="O18" s="71" t="s">
        <v>184</v>
      </c>
      <c r="P18" s="71" t="s">
        <v>185</v>
      </c>
      <c r="Q18" s="71" t="s">
        <v>186</v>
      </c>
      <c r="R18" s="72" t="s">
        <v>187</v>
      </c>
      <c r="S18" s="71" t="s">
        <v>188</v>
      </c>
      <c r="T18" s="71" t="s">
        <v>189</v>
      </c>
      <c r="U18" s="71" t="s">
        <v>190</v>
      </c>
      <c r="V18" s="71" t="s">
        <v>191</v>
      </c>
      <c r="W18" s="56" t="s">
        <v>192</v>
      </c>
      <c r="X18" s="56" t="s">
        <v>193</v>
      </c>
      <c r="Y18" s="56" t="s">
        <v>194</v>
      </c>
      <c r="Z18" s="56" t="s">
        <v>195</v>
      </c>
      <c r="AA18" s="56" t="s">
        <v>196</v>
      </c>
      <c r="AB18" s="71" t="s">
        <v>197</v>
      </c>
      <c r="AC18" s="71" t="s">
        <v>198</v>
      </c>
      <c r="AD18" s="71" t="s">
        <v>199</v>
      </c>
      <c r="AE18" s="56" t="s">
        <v>200</v>
      </c>
      <c r="AF18" s="71" t="s">
        <v>201</v>
      </c>
      <c r="AG18" s="71" t="s">
        <v>202</v>
      </c>
      <c r="AH18" s="71" t="s">
        <v>203</v>
      </c>
      <c r="AI18" s="71" t="s">
        <v>204</v>
      </c>
      <c r="AJ18" s="71" t="s">
        <v>205</v>
      </c>
      <c r="AK18" s="71" t="s">
        <v>206</v>
      </c>
      <c r="AL18" s="71" t="s">
        <v>207</v>
      </c>
      <c r="AM18" s="71" t="s">
        <v>208</v>
      </c>
      <c r="AN18" s="71" t="s">
        <v>209</v>
      </c>
      <c r="AO18" s="71" t="s">
        <v>210</v>
      </c>
      <c r="AP18" s="71" t="s">
        <v>211</v>
      </c>
      <c r="AQ18" s="71" t="s">
        <v>212</v>
      </c>
      <c r="AR18" s="71" t="s">
        <v>213</v>
      </c>
      <c r="AS18" s="71" t="s">
        <v>214</v>
      </c>
      <c r="AT18" s="71" t="s">
        <v>215</v>
      </c>
      <c r="AU18" s="71" t="s">
        <v>216</v>
      </c>
      <c r="AV18" s="71" t="s">
        <v>217</v>
      </c>
      <c r="AW18" s="71" t="s">
        <v>218</v>
      </c>
      <c r="AX18" s="71" t="s">
        <v>219</v>
      </c>
      <c r="AY18" s="71" t="s">
        <v>220</v>
      </c>
      <c r="AZ18" s="71" t="s">
        <v>221</v>
      </c>
    </row>
    <row r="19" spans="1:52" s="91" customFormat="1" ht="21.75" customHeight="1" x14ac:dyDescent="0.65">
      <c r="A19" s="73" t="s">
        <v>87</v>
      </c>
      <c r="B19" s="74" t="s">
        <v>222</v>
      </c>
      <c r="C19" s="74">
        <v>1</v>
      </c>
      <c r="D19" s="74" t="s">
        <v>223</v>
      </c>
      <c r="E19" s="68" t="str">
        <f>Baukon_neu[[#This Row],[Variante Nummer]]&amp;". "&amp;Baukon_neu[[#This Row],[Name Baukonstruktion]]&amp;" | " &amp;Baukon_neu[[#This Row],[Variante Name]]</f>
        <v>1. Außenwand Beton | konv. Beton</v>
      </c>
      <c r="F19" s="128" t="str">
        <f>IF(IFERROR(_xlfn.XLOOKUP(Baukon_neu[[#This Row],[ID Baukonstruktion]],Baukon_alle_A1_A3_results[ID Baukonstruktion],Baukon_alle_A1_A3_results[ID Baukonstruktion]),"okay")="okay", "okay","Achtung, id wird bereits verwendet")</f>
        <v>Achtung, id wird bereits verwendet</v>
      </c>
      <c r="G19" s="75"/>
      <c r="H19" s="73" t="s">
        <v>224</v>
      </c>
      <c r="I19" s="73" t="s">
        <v>225</v>
      </c>
      <c r="J19" s="74">
        <v>300</v>
      </c>
      <c r="K19" s="68">
        <f>IF(Baukon_neu[[#This Row],[ist Dämmstoff?]]="ja",Baukon_neu[[#This Row],[Dicke '[mm'] Referenz]]+_xlfn.XLOOKUP(RIGHT(Baukon_neu[[#Headers],[Dicke '[mm'] min]],3),Dämmstoffvarianten[Variante],Dämmstoffvarianten[Differenz Dämmstoffedicke zu Referenz '[mm']]),Baukon_neu[[#This Row],[Dicke '[mm'] Referenz]])</f>
        <v>300</v>
      </c>
      <c r="L19" s="68">
        <f>IF(Baukon_neu[[#This Row],[ist Dämmstoff?]]="ja",Baukon_neu[[#This Row],[Dicke '[mm'] Referenz]]+_xlfn.XLOOKUP(RIGHT(Baukon_neu[[#Headers],[Dicke '[mm'] max]],3),Dämmstoffvarianten[Variante],Dämmstoffvarianten[Differenz Dämmstoffedicke zu Referenz '[mm']]),Baukon_neu[[#This Row],[Dicke '[mm'] Referenz]])</f>
        <v>300</v>
      </c>
      <c r="M19" s="76">
        <v>1</v>
      </c>
      <c r="N19" s="75"/>
      <c r="O19" s="69">
        <f>IFERROR(Baukon_neu[[#This Row],[Dicke '[mm'] Referenz]]/1000*Baukon_neu[[#This Row],[Flächenanteil '[%']]],"")</f>
        <v>0.3</v>
      </c>
      <c r="P19" s="69">
        <f>IFERROR(Baukon_neu[[#This Row],[Dicke '[mm'] min]]/1000*Baukon_neu[[#This Row],[Flächenanteil '[%']]],"")</f>
        <v>0.3</v>
      </c>
      <c r="Q19" s="69">
        <f>IFERROR(Baukon_neu[[#This Row],[Dicke '[mm'] max]]/1000*Baukon_neu[[#This Row],[Flächenanteil '[%']]],"")</f>
        <v>0.3</v>
      </c>
      <c r="R19" s="77" t="s">
        <v>226</v>
      </c>
      <c r="S19" s="69" t="str">
        <f>IFERROR(_xlfn.XLOOKUP(Baukon_neu[[#This Row],[Produkt]],LeitRess_Materialien[Name],LeitRess_Materialien[Material_UUID]),"")</f>
        <v>9702d9ab-2af2-4fdc-9d99-225583a9ffb7</v>
      </c>
      <c r="T19" s="69">
        <f>IF(OR(Baukon_neu[[#This Row],[Rohdichte '[kg/m³'], Eingabe ]]="", Baukon_neu[[#This Row],[Rohdichte '[kg/m³'], Eingabe ]]="0"),_xlfn.XLOOKUP(Baukon_neu[[#This Row],[LCA Datensatz]],LeitRess_Materialien[Material_UUID],LeitRess_Materialien[Rohdichte_'[kg/m3']]),Baukon_neu[[#This Row],[Rohdichte '[kg/m³'], Eingabe ]])</f>
        <v>2360</v>
      </c>
      <c r="U19" s="69">
        <f>IF(OR(Baukon_neu[[#This Row],[Flächengewicht '[kg/m²'], Eingabe ]]="", Baukon_neu[[#This Row],[Flächengewicht '[kg/m²'], Eingabe ]]="0"),_xlfn.XLOOKUP(Baukon_neu[[#This Row],[LCA Datensatz]],LeitRess_Materialien[Material_UUID],LeitRess_Materialien[Flächengewicht_'[kg/m2']]),Baukon_neu[[#This Row],[Flächengewicht '[kg/m²'], Eingabe ]])</f>
        <v>0</v>
      </c>
      <c r="V19" s="69">
        <f>IF(OR(Baukon_neu[[#This Row],[Längengewicht '[kg/m'], Eingabe ]]="", Baukon_neu[[#This Row],[Längengewicht '[kg/m'], Eingabe ]]="0"),_xlfn.XLOOKUP(Baukon_neu[[#This Row],[LCA Datensatz]],LeitRess_Materialien[Material_UUID],LeitRess_Materialien[Längengewicht_'[kg/m']]),Baukon_neu[[#This Row],[Längengewicht '[kg/m'], Eingabe ]])</f>
        <v>0</v>
      </c>
      <c r="W19" s="69">
        <f>IF(OR(Baukon_neu[[#This Row],[lambda_'[W/mK'], Eingabe ]]="", Baukon_neu[[#This Row],[lambda_'[W/mK'], Eingabe ]]="0"),_xlfn.XLOOKUP(Baukon_neu[[#This Row],[LCA Datensatz]],LeitRess_Materialien[Material_UUID],LeitRess_Materialien[lambda_'[W/mK']]),Baukon_neu[[#This Row],[lambda_'[W/mK'], Eingabe ]])</f>
        <v>1.4</v>
      </c>
      <c r="X19" s="75"/>
      <c r="Y19" s="75"/>
      <c r="Z19" s="75"/>
      <c r="AA19" s="75"/>
      <c r="AB19" s="69">
        <f>IFERROR(
    IF(Baukon_neu[[#This Row],[Länge '[m/m²']]]*Baukon_neu[[#This Row],[Längengewicht '[kg/m']]]&lt;&gt;0, Baukon_neu[[#This Row],[Länge '[m/m²']]]*Baukon_neu[[#This Row],[Längengewicht '[kg/m']]],
       IF( Baukon_neu[[#This Row],[Volumen '[m³/m²'] Referenz]]*Baukon_neu[[#This Row],[Rohdichte '[kg/m³']]]&lt;&gt;0,
        Baukon_neu[[#This Row],[Volumen '[m³/m²'] Referenz]]*Baukon_neu[[#This Row],[Rohdichte '[kg/m³']]],
                Baukon_neu[[#This Row],[Flächenanteil '[%']]]*Baukon_neu[[#This Row],[Flächengewicht '[kg/m²']]])),"")</f>
        <v>708</v>
      </c>
      <c r="AC19" s="69">
        <f>IFERROR(
    IF(Baukon_neu[[#This Row],[Länge '[m/m²']]]*Baukon_neu[[#This Row],[Längengewicht '[kg/m']]]&lt;&gt;0, Baukon_neu[[#This Row],[Länge '[m/m²']]]*Baukon_neu[[#This Row],[Längengewicht '[kg/m']]],
       IF( Baukon_neu[[#This Row],[Volumen '[m³/m²'] min]]*Baukon_neu[[#This Row],[Rohdichte '[kg/m³']]]&lt;&gt;0,
        Baukon_neu[[#This Row],[Volumen '[m³/m²'] min]]*Baukon_neu[[#This Row],[Rohdichte '[kg/m³']]],
                Baukon_neu[[#This Row],[Flächenanteil '[%']]]*Baukon_neu[[#This Row],[Flächengewicht '[kg/m²']]])),"")</f>
        <v>708</v>
      </c>
      <c r="AD19" s="69">
        <f>IFERROR(
    IF(Baukon_neu[[#This Row],[Länge '[m/m²']]]*Baukon_neu[[#This Row],[Längengewicht '[kg/m']]]&lt;&gt;0, Baukon_neu[[#This Row],[Länge '[m/m²']]]*Baukon_neu[[#This Row],[Längengewicht '[kg/m']]],
       IF( Baukon_neu[[#This Row],[Volumen '[m³/m²'] max]]*Baukon_neu[[#This Row],[Rohdichte '[kg/m³']]]&lt;&gt;0,
        Baukon_neu[[#This Row],[Volumen '[m³/m²'] max]]*Baukon_neu[[#This Row],[Rohdichte '[kg/m³']]],
                Baukon_neu[[#This Row],[Flächenanteil '[%']]]*Baukon_neu[[#This Row],[Flächengewicht '[kg/m²']]])),"")</f>
        <v>708</v>
      </c>
      <c r="AE19" s="69">
        <f>IFERROR(Baukon_neu[[#This Row],[Dicke '[mm'] Referenz]]/Baukon_neu[[#This Row],[lambda_'[W/mK']]],"")</f>
        <v>214.28571428571431</v>
      </c>
      <c r="AF19" s="70">
        <f>_xlfn.XLOOKUP(Baukon_neu[[#This Row],[LCA Datensatz]],LeitRess_Materialien[Material_UUID],LeitRess_Materialien[RMI '[kg Primärrohstoffe / kg']])*Baukon_neu[[#This Row],[Masse '[kg/m²'] Referenz]]</f>
        <v>706.64824578292257</v>
      </c>
      <c r="AG19" s="70">
        <f>_xlfn.XLOOKUP(Baukon_neu[[#This Row],[LCA Datensatz]],LeitRess_Materialien[Material_UUID],LeitRess_Materialien[RMI '[kg Primärrohstoffe / kg']])*Baukon_neu[[#This Row],[Masse '[kg/m²'] min]]</f>
        <v>706.64824578292257</v>
      </c>
      <c r="AH19" s="70">
        <f>_xlfn.XLOOKUP(Baukon_neu[[#This Row],[LCA Datensatz]],LeitRess_Materialien[Material_UUID],LeitRess_Materialien[RMI '[kg Primärrohstoffe / kg']])*Baukon_neu[[#This Row],[Masse '[kg/m²'] max]]</f>
        <v>706.64824578292257</v>
      </c>
      <c r="AI19" s="70">
        <f>_xlfn.XLOOKUP(Baukon_neu[[#This Row],[LCA Datensatz]],LeitRess_Materialien[Material_UUID],LeitRess_Materialien[TMR '[kg Gesamtmaterialaufwand/kg']])*Baukon_neu[[#This Row],[Masse '[kg/m²'] Referenz]]</f>
        <v>732.70344456844998</v>
      </c>
      <c r="AJ19" s="70">
        <f>_xlfn.XLOOKUP(Baukon_neu[[#This Row],[LCA Datensatz]],LeitRess_Materialien[Material_UUID],LeitRess_Materialien[TMR '[kg Gesamtmaterialaufwand/kg']])*Baukon_neu[[#This Row],[Masse '[kg/m²'] min]]</f>
        <v>732.70344456844998</v>
      </c>
      <c r="AK19" s="70">
        <f>_xlfn.XLOOKUP(Baukon_neu[[#This Row],[LCA Datensatz]],LeitRess_Materialien[Material_UUID],LeitRess_Materialien[TMR '[kg Gesamtmaterialaufwand/kg']])*Baukon_neu[[#This Row],[Masse '[kg/m²'] max]]</f>
        <v>732.70344456844998</v>
      </c>
      <c r="AL19" s="70">
        <f>_xlfn.XLOOKUP(Baukon_neu[[#This Row],[LCA Datensatz]],LeitRess_Materialien[Material_UUID],LeitRess_Materialien[GWP '[kg CO2-Äqu./kg']])*Baukon_neu[[#This Row],[Masse '[kg/m²'] Referenz]]</f>
        <v>59.815442392480868</v>
      </c>
      <c r="AM19" s="70">
        <f>_xlfn.XLOOKUP(Baukon_neu[[#This Row],[LCA Datensatz]],LeitRess_Materialien[Material_UUID],LeitRess_Materialien[GWP '[kg CO2-Äqu./kg']])*Baukon_neu[[#This Row],[Masse '[kg/m²'] min]]</f>
        <v>59.815442392480868</v>
      </c>
      <c r="AN19" s="70">
        <f>_xlfn.XLOOKUP(Baukon_neu[[#This Row],[LCA Datensatz]],LeitRess_Materialien[Material_UUID],LeitRess_Materialien[GWP '[kg CO2-Äqu./kg']])*Baukon_neu[[#This Row],[Masse '[kg/m²'] max]]</f>
        <v>59.815442392480868</v>
      </c>
      <c r="AO19" s="70">
        <f>_xlfn.XLOOKUP(Baukon_neu[[#This Row],[LCA Datensatz]],LeitRess_Materialien[Material_UUID],LeitRess_Materialien[PENRT '[MJ/kg']])*Baukon_neu[[#This Row],[Masse '[kg/m²'] Referenz]]</f>
        <v>468.59961036562692</v>
      </c>
      <c r="AP19" s="70">
        <f>_xlfn.XLOOKUP(Baukon_neu[[#This Row],[LCA Datensatz]],LeitRess_Materialien[Material_UUID],LeitRess_Materialien[PENRT '[MJ/kg']])*Baukon_neu[[#This Row],[Masse '[kg/m²'] min]]</f>
        <v>468.59961036562692</v>
      </c>
      <c r="AQ19" s="70">
        <f>_xlfn.XLOOKUP(Baukon_neu[[#This Row],[LCA Datensatz]],LeitRess_Materialien[Material_UUID],LeitRess_Materialien[PENRT '[MJ/kg']])*Baukon_neu[[#This Row],[Masse '[kg/m²'] max]]</f>
        <v>468.59961036562692</v>
      </c>
      <c r="AR19" s="70" t="e">
        <f>_xlfn.XLOOKUP(Baukon_neu[[#This Row],[LCA Datensatz]],LeitRess_Materialien[Material_UUID],#REF!)*Baukon_neu[[#This Row],[Masse '[kg/m²'] Referenz]]</f>
        <v>#REF!</v>
      </c>
      <c r="AS19" s="70" t="e">
        <f>_xlfn.XLOOKUP(Baukon_neu[[#This Row],[LCA Datensatz]],LeitRess_Materialien[Material_UUID],#REF!)*Baukon_neu[[#This Row],[Masse '[kg/m²'] min]]</f>
        <v>#REF!</v>
      </c>
      <c r="AT19" s="70" t="e">
        <f>_xlfn.XLOOKUP(Baukon_neu[[#This Row],[LCA Datensatz]],LeitRess_Materialien[Material_UUID],#REF!)*Baukon_neu[[#This Row],[Masse '[kg/m²'] max]]</f>
        <v>#REF!</v>
      </c>
      <c r="AU19" s="70">
        <f>_xlfn.XLOOKUP(Baukon_neu[[#This Row],[LCA Datensatz]],LeitRess_Materialien[Material_UUID],LeitRess_Materialien[WDP '[m³ weighted water/kg']])*Baukon_neu[[#This Row],[Masse '[kg/m²'] Referenz]]</f>
        <v>29.645899439046772</v>
      </c>
      <c r="AV19" s="70">
        <f>_xlfn.XLOOKUP(Baukon_neu[[#This Row],[LCA Datensatz]],LeitRess_Materialien[Material_UUID],LeitRess_Materialien[WDP '[m³ weighted water/kg']])*Baukon_neu[[#This Row],[Masse '[kg/m²'] min]]</f>
        <v>29.645899439046772</v>
      </c>
      <c r="AW19" s="70">
        <f>_xlfn.XLOOKUP(Baukon_neu[[#This Row],[LCA Datensatz]],LeitRess_Materialien[Material_UUID],LeitRess_Materialien[WDP '[m³ weighted water/kg']])*Baukon_neu[[#This Row],[Masse '[kg/m²'] max]]</f>
        <v>29.645899439046772</v>
      </c>
      <c r="AX19" s="78">
        <f>Baukon_neu[[#This Row],[GWP '[kg CO2-Äqu./m²'] Referenz]]/'Ausgabe Tabellen'!$C$21+Baukon_neu[[#This Row],[PENRT '[MJ/m²'] Referenz]]/'Ausgabe Tabellen'!$C$22+Baukon_neu[[#This Row],[RMI '[kg Primärrohstoffe/m²'] Referenz]]/'Ausgabe Tabellen'!$C$23+Baukon_neu[[#This Row],[WDP '[m² weighted water/m²'] Referenz]]/'Ausgabe Tabellen'!$C$24</f>
        <v>3.0766275292103063E-2</v>
      </c>
      <c r="AY19" s="78">
        <f>Baukon_neu[[#This Row],[GWP '[kg CO2-Äqu./m²'] min]]/'Ausgabe Tabellen'!$C$21+Baukon_neu[[#This Row],[PENRT '[MJ/m²'] min]]/'Ausgabe Tabellen'!$C$22+Baukon_neu[[#This Row],[RMI '[kg Primärrohstoffe/m²'] min]]/'Ausgabe Tabellen'!$C$23+Baukon_neu[[#This Row],[WDP '[m² weighted water/m²'] min]]/'Ausgabe Tabellen'!$C$24</f>
        <v>3.0766275292103063E-2</v>
      </c>
      <c r="AZ19" s="78">
        <f>Baukon_neu[[#This Row],[GWP '[kg CO2-Äqu./m²'] max]]/'Ausgabe Tabellen'!$C$21+Baukon_neu[[#This Row],[PENRT '[MJ/m²'] max]]/'Ausgabe Tabellen'!$C$22+Baukon_neu[[#This Row],[RMI '[kg Primärrohstoffe/m²'] max]]/'Ausgabe Tabellen'!$C$23+Baukon_neu[[#This Row],[WDP '[m² weighted water/m²'] max]]/'Ausgabe Tabellen'!$C$24</f>
        <v>3.0766275292103063E-2</v>
      </c>
    </row>
    <row r="20" spans="1:52" x14ac:dyDescent="0.65">
      <c r="A20" s="73" t="s">
        <v>87</v>
      </c>
      <c r="B20" s="74" t="s">
        <v>222</v>
      </c>
      <c r="C20" s="74">
        <v>1</v>
      </c>
      <c r="D20" s="74" t="s">
        <v>223</v>
      </c>
      <c r="E20" s="68" t="str">
        <f>Baukon_neu[[#This Row],[Variante Nummer]]&amp;". "&amp;Baukon_neu[[#This Row],[Name Baukonstruktion]]&amp;" | " &amp;Baukon_neu[[#This Row],[Variante Name]]</f>
        <v>1. Außenwand Beton | konv. Beton</v>
      </c>
      <c r="F20" s="128" t="str">
        <f>IF(IFERROR(_xlfn.XLOOKUP(Baukon_neu[[#This Row],[ID Baukonstruktion]],Baukon_alle_A1_A3_results[ID Baukonstruktion],Baukon_alle_A1_A3_results[ID Baukonstruktion]),"okay")="okay", "okay","Achtung, id wird bereits verwendet")</f>
        <v>Achtung, id wird bereits verwendet</v>
      </c>
      <c r="G20" s="75"/>
      <c r="H20" s="73" t="s">
        <v>227</v>
      </c>
      <c r="I20" s="73" t="s">
        <v>228</v>
      </c>
      <c r="J20" s="74">
        <v>100</v>
      </c>
      <c r="K20" s="68">
        <f>IF(Baukon_neu[[#This Row],[ist Dämmstoff?]]="ja",Baukon_neu[[#This Row],[Dicke '[mm'] Referenz]]+_xlfn.XLOOKUP(RIGHT(Baukon_neu[[#Headers],[Dicke '[mm'] min]],3),Dämmstoffvarianten[Variante],Dämmstoffvarianten[Differenz Dämmstoffedicke zu Referenz '[mm']]),Baukon_neu[[#This Row],[Dicke '[mm'] Referenz]])</f>
        <v>60</v>
      </c>
      <c r="L20" s="68">
        <f>IF(Baukon_neu[[#This Row],[ist Dämmstoff?]]="ja",Baukon_neu[[#This Row],[Dicke '[mm'] Referenz]]+_xlfn.XLOOKUP(RIGHT(Baukon_neu[[#Headers],[Dicke '[mm'] max]],3),Dämmstoffvarianten[Variante],Dämmstoffvarianten[Differenz Dämmstoffedicke zu Referenz '[mm']]),Baukon_neu[[#This Row],[Dicke '[mm'] Referenz]])</f>
        <v>180</v>
      </c>
      <c r="M20" s="76">
        <v>1</v>
      </c>
      <c r="N20" s="75"/>
      <c r="O20" s="69">
        <f>IFERROR(Baukon_neu[[#This Row],[Dicke '[mm'] Referenz]]/1000*Baukon_neu[[#This Row],[Flächenanteil '[%']]],"")</f>
        <v>0.1</v>
      </c>
      <c r="P20" s="69">
        <f>IFERROR(Baukon_neu[[#This Row],[Dicke '[mm'] min]]/1000*Baukon_neu[[#This Row],[Flächenanteil '[%']]],"")</f>
        <v>0.06</v>
      </c>
      <c r="Q20" s="69">
        <f>IFERROR(Baukon_neu[[#This Row],[Dicke '[mm'] max]]/1000*Baukon_neu[[#This Row],[Flächenanteil '[%']]],"")</f>
        <v>0.18</v>
      </c>
      <c r="R20" s="77" t="s">
        <v>226</v>
      </c>
      <c r="S20" s="69" t="str">
        <f>IFERROR(_xlfn.XLOOKUP(Baukon_neu[[#This Row],[Produkt]],LeitRess_Materialien[Name],LeitRess_Materialien[Material_UUID]),"")</f>
        <v>f8afef87-5de3-4996-838c-1f2af9ef81df</v>
      </c>
      <c r="T20" s="69">
        <f>IF(OR(Baukon_neu[[#This Row],[Rohdichte '[kg/m³'], Eingabe ]]="", Baukon_neu[[#This Row],[Rohdichte '[kg/m³'], Eingabe ]]="0"),_xlfn.XLOOKUP(Baukon_neu[[#This Row],[LCA Datensatz]],LeitRess_Materialien[Material_UUID],LeitRess_Materialien[Rohdichte_'[kg/m3']]),Baukon_neu[[#This Row],[Rohdichte '[kg/m³'], Eingabe ]])</f>
        <v>46.25</v>
      </c>
      <c r="U20" s="69">
        <f>IF(OR(Baukon_neu[[#This Row],[Flächengewicht '[kg/m²'], Eingabe ]]="", Baukon_neu[[#This Row],[Flächengewicht '[kg/m²'], Eingabe ]]="0"),_xlfn.XLOOKUP(Baukon_neu[[#This Row],[LCA Datensatz]],LeitRess_Materialien[Material_UUID],LeitRess_Materialien[Flächengewicht_'[kg/m2']]),Baukon_neu[[#This Row],[Flächengewicht '[kg/m²'], Eingabe ]])</f>
        <v>0</v>
      </c>
      <c r="V20" s="69">
        <f>IF(OR(Baukon_neu[[#This Row],[Längengewicht '[kg/m'], Eingabe ]]="", Baukon_neu[[#This Row],[Längengewicht '[kg/m'], Eingabe ]]="0"),_xlfn.XLOOKUP(Baukon_neu[[#This Row],[LCA Datensatz]],LeitRess_Materialien[Material_UUID],LeitRess_Materialien[Längengewicht_'[kg/m']]),Baukon_neu[[#This Row],[Längengewicht '[kg/m'], Eingabe ]])</f>
        <v>0</v>
      </c>
      <c r="W20" s="69">
        <f>IF(OR(Baukon_neu[[#This Row],[lambda_'[W/mK'], Eingabe ]]="", Baukon_neu[[#This Row],[lambda_'[W/mK'], Eingabe ]]="0"),_xlfn.XLOOKUP(Baukon_neu[[#This Row],[LCA Datensatz]],LeitRess_Materialien[Material_UUID],LeitRess_Materialien[lambda_'[W/mK']]),Baukon_neu[[#This Row],[lambda_'[W/mK'], Eingabe ]])</f>
        <v>4.2000000000000003E-2</v>
      </c>
      <c r="X20" s="75"/>
      <c r="Y20" s="75"/>
      <c r="Z20" s="75"/>
      <c r="AA20" s="75"/>
      <c r="AB20" s="69">
        <f>IFERROR(
    IF(Baukon_neu[[#This Row],[Länge '[m/m²']]]*Baukon_neu[[#This Row],[Längengewicht '[kg/m']]]&lt;&gt;0, Baukon_neu[[#This Row],[Länge '[m/m²']]]*Baukon_neu[[#This Row],[Längengewicht '[kg/m']]],
       IF( Baukon_neu[[#This Row],[Volumen '[m³/m²'] Referenz]]*Baukon_neu[[#This Row],[Rohdichte '[kg/m³']]]&lt;&gt;0,
        Baukon_neu[[#This Row],[Volumen '[m³/m²'] Referenz]]*Baukon_neu[[#This Row],[Rohdichte '[kg/m³']]],
                Baukon_neu[[#This Row],[Flächenanteil '[%']]]*Baukon_neu[[#This Row],[Flächengewicht '[kg/m²']]])),"")</f>
        <v>4.625</v>
      </c>
      <c r="AC20" s="69">
        <f>IFERROR(
    IF(Baukon_neu[[#This Row],[Länge '[m/m²']]]*Baukon_neu[[#This Row],[Längengewicht '[kg/m']]]&lt;&gt;0, Baukon_neu[[#This Row],[Länge '[m/m²']]]*Baukon_neu[[#This Row],[Längengewicht '[kg/m']]],
       IF( Baukon_neu[[#This Row],[Volumen '[m³/m²'] min]]*Baukon_neu[[#This Row],[Rohdichte '[kg/m³']]]&lt;&gt;0,
        Baukon_neu[[#This Row],[Volumen '[m³/m²'] min]]*Baukon_neu[[#This Row],[Rohdichte '[kg/m³']]],
                Baukon_neu[[#This Row],[Flächenanteil '[%']]]*Baukon_neu[[#This Row],[Flächengewicht '[kg/m²']]])),"")</f>
        <v>2.7749999999999999</v>
      </c>
      <c r="AD20" s="69">
        <f>IFERROR(
    IF(Baukon_neu[[#This Row],[Länge '[m/m²']]]*Baukon_neu[[#This Row],[Längengewicht '[kg/m']]]&lt;&gt;0, Baukon_neu[[#This Row],[Länge '[m/m²']]]*Baukon_neu[[#This Row],[Längengewicht '[kg/m']]],
       IF( Baukon_neu[[#This Row],[Volumen '[m³/m²'] max]]*Baukon_neu[[#This Row],[Rohdichte '[kg/m³']]]&lt;&gt;0,
        Baukon_neu[[#This Row],[Volumen '[m³/m²'] max]]*Baukon_neu[[#This Row],[Rohdichte '[kg/m³']]],
                Baukon_neu[[#This Row],[Flächenanteil '[%']]]*Baukon_neu[[#This Row],[Flächengewicht '[kg/m²']]])),"")</f>
        <v>8.3249999999999993</v>
      </c>
      <c r="AE20" s="69">
        <f>IFERROR(Baukon_neu[[#This Row],[Dicke '[mm'] Referenz]]/Baukon_neu[[#This Row],[lambda_'[W/mK']]],"")</f>
        <v>2380.9523809523807</v>
      </c>
      <c r="AF20" s="70">
        <f>_xlfn.XLOOKUP(Baukon_neu[[#This Row],[LCA Datensatz]],LeitRess_Materialien[Material_UUID],LeitRess_Materialien[RMI '[kg Primärrohstoffe / kg']])*Baukon_neu[[#This Row],[Masse '[kg/m²'] Referenz]]</f>
        <v>8.9126533214270101</v>
      </c>
      <c r="AG20" s="70">
        <f>_xlfn.XLOOKUP(Baukon_neu[[#This Row],[LCA Datensatz]],LeitRess_Materialien[Material_UUID],LeitRess_Materialien[RMI '[kg Primärrohstoffe / kg']])*Baukon_neu[[#This Row],[Masse '[kg/m²'] min]]</f>
        <v>5.3475919928562057</v>
      </c>
      <c r="AH20" s="70">
        <f>_xlfn.XLOOKUP(Baukon_neu[[#This Row],[LCA Datensatz]],LeitRess_Materialien[Material_UUID],LeitRess_Materialien[RMI '[kg Primärrohstoffe / kg']])*Baukon_neu[[#This Row],[Masse '[kg/m²'] max]]</f>
        <v>16.042775978568617</v>
      </c>
      <c r="AI20" s="70">
        <f>_xlfn.XLOOKUP(Baukon_neu[[#This Row],[LCA Datensatz]],LeitRess_Materialien[Material_UUID],LeitRess_Materialien[TMR '[kg Gesamtmaterialaufwand/kg']])*Baukon_neu[[#This Row],[Masse '[kg/m²'] Referenz]]</f>
        <v>10.816018591847159</v>
      </c>
      <c r="AJ20" s="70">
        <f>_xlfn.XLOOKUP(Baukon_neu[[#This Row],[LCA Datensatz]],LeitRess_Materialien[Material_UUID],LeitRess_Materialien[TMR '[kg Gesamtmaterialaufwand/kg']])*Baukon_neu[[#This Row],[Masse '[kg/m²'] min]]</f>
        <v>6.4896111551082951</v>
      </c>
      <c r="AK20" s="70">
        <f>_xlfn.XLOOKUP(Baukon_neu[[#This Row],[LCA Datensatz]],LeitRess_Materialien[Material_UUID],LeitRess_Materialien[TMR '[kg Gesamtmaterialaufwand/kg']])*Baukon_neu[[#This Row],[Masse '[kg/m²'] max]]</f>
        <v>19.468833465324884</v>
      </c>
      <c r="AL20" s="70">
        <f>_xlfn.XLOOKUP(Baukon_neu[[#This Row],[LCA Datensatz]],LeitRess_Materialien[Material_UUID],LeitRess_Materialien[GWP '[kg CO2-Äqu./kg']])*Baukon_neu[[#This Row],[Masse '[kg/m²'] Referenz]]</f>
        <v>4.5779675938252673</v>
      </c>
      <c r="AM20" s="70">
        <f>_xlfn.XLOOKUP(Baukon_neu[[#This Row],[LCA Datensatz]],LeitRess_Materialien[Material_UUID],LeitRess_Materialien[GWP '[kg CO2-Äqu./kg']])*Baukon_neu[[#This Row],[Masse '[kg/m²'] min]]</f>
        <v>2.7467805562951599</v>
      </c>
      <c r="AN20" s="70">
        <f>_xlfn.XLOOKUP(Baukon_neu[[#This Row],[LCA Datensatz]],LeitRess_Materialien[Material_UUID],LeitRess_Materialien[GWP '[kg CO2-Äqu./kg']])*Baukon_neu[[#This Row],[Masse '[kg/m²'] max]]</f>
        <v>8.2403416688854794</v>
      </c>
      <c r="AO20" s="70">
        <f>_xlfn.XLOOKUP(Baukon_neu[[#This Row],[LCA Datensatz]],LeitRess_Materialien[Material_UUID],LeitRess_Materialien[PENRT '[MJ/kg']])*Baukon_neu[[#This Row],[Masse '[kg/m²'] Referenz]]</f>
        <v>98.394467641187106</v>
      </c>
      <c r="AP20" s="70">
        <f>_xlfn.XLOOKUP(Baukon_neu[[#This Row],[LCA Datensatz]],LeitRess_Materialien[Material_UUID],LeitRess_Materialien[PENRT '[MJ/kg']])*Baukon_neu[[#This Row],[Masse '[kg/m²'] min]]</f>
        <v>59.036680584712258</v>
      </c>
      <c r="AQ20" s="70">
        <f>_xlfn.XLOOKUP(Baukon_neu[[#This Row],[LCA Datensatz]],LeitRess_Materialien[Material_UUID],LeitRess_Materialien[PENRT '[MJ/kg']])*Baukon_neu[[#This Row],[Masse '[kg/m²'] max]]</f>
        <v>177.11004175413677</v>
      </c>
      <c r="AR20" s="70" t="e">
        <f>_xlfn.XLOOKUP(Baukon_neu[[#This Row],[LCA Datensatz]],LeitRess_Materialien[Material_UUID],#REF!)*Baukon_neu[[#This Row],[Masse '[kg/m²'] Referenz]]</f>
        <v>#REF!</v>
      </c>
      <c r="AS20" s="70" t="e">
        <f>_xlfn.XLOOKUP(Baukon_neu[[#This Row],[LCA Datensatz]],LeitRess_Materialien[Material_UUID],#REF!)*Baukon_neu[[#This Row],[Masse '[kg/m²'] min]]</f>
        <v>#REF!</v>
      </c>
      <c r="AT20" s="70" t="e">
        <f>_xlfn.XLOOKUP(Baukon_neu[[#This Row],[LCA Datensatz]],LeitRess_Materialien[Material_UUID],#REF!)*Baukon_neu[[#This Row],[Masse '[kg/m²'] max]]</f>
        <v>#REF!</v>
      </c>
      <c r="AU20" s="70">
        <f>_xlfn.XLOOKUP(Baukon_neu[[#This Row],[LCA Datensatz]],LeitRess_Materialien[Material_UUID],LeitRess_Materialien[WDP '[m³ weighted water/kg']])*Baukon_neu[[#This Row],[Masse '[kg/m²'] Referenz]]</f>
        <v>5.012082005968213</v>
      </c>
      <c r="AV20" s="70">
        <f>_xlfn.XLOOKUP(Baukon_neu[[#This Row],[LCA Datensatz]],LeitRess_Materialien[Material_UUID],LeitRess_Materialien[WDP '[m³ weighted water/kg']])*Baukon_neu[[#This Row],[Masse '[kg/m²'] min]]</f>
        <v>3.007249203580928</v>
      </c>
      <c r="AW20" s="70">
        <f>_xlfn.XLOOKUP(Baukon_neu[[#This Row],[LCA Datensatz]],LeitRess_Materialien[Material_UUID],LeitRess_Materialien[WDP '[m³ weighted water/kg']])*Baukon_neu[[#This Row],[Masse '[kg/m²'] max]]</f>
        <v>9.0217476107427839</v>
      </c>
      <c r="AX20" s="78">
        <f>Baukon_neu[[#This Row],[GWP '[kg CO2-Äqu./m²'] Referenz]]/'Ausgabe Tabellen'!$C$21+Baukon_neu[[#This Row],[PENRT '[MJ/m²'] Referenz]]/'Ausgabe Tabellen'!$C$22+Baukon_neu[[#This Row],[RMI '[kg Primärrohstoffe/m²'] Referenz]]/'Ausgabe Tabellen'!$C$23+Baukon_neu[[#This Row],[WDP '[m² weighted water/m²'] Referenz]]/'Ausgabe Tabellen'!$C$24</f>
        <v>1.8062242068618824E-3</v>
      </c>
      <c r="AY20" s="78">
        <f>Baukon_neu[[#This Row],[GWP '[kg CO2-Äqu./m²'] min]]/'Ausgabe Tabellen'!$C$21+Baukon_neu[[#This Row],[PENRT '[MJ/m²'] min]]/'Ausgabe Tabellen'!$C$22+Baukon_neu[[#This Row],[RMI '[kg Primärrohstoffe/m²'] min]]/'Ausgabe Tabellen'!$C$23+Baukon_neu[[#This Row],[WDP '[m² weighted water/m²'] min]]/'Ausgabe Tabellen'!$C$24</f>
        <v>1.0837345241171293E-3</v>
      </c>
      <c r="AZ20" s="78">
        <f>Baukon_neu[[#This Row],[GWP '[kg CO2-Äqu./m²'] max]]/'Ausgabe Tabellen'!$C$21+Baukon_neu[[#This Row],[PENRT '[MJ/m²'] max]]/'Ausgabe Tabellen'!$C$22+Baukon_neu[[#This Row],[RMI '[kg Primärrohstoffe/m²'] max]]/'Ausgabe Tabellen'!$C$23+Baukon_neu[[#This Row],[WDP '[m² weighted water/m²'] max]]/'Ausgabe Tabellen'!$C$24</f>
        <v>3.2512035723513879E-3</v>
      </c>
    </row>
    <row r="21" spans="1:52" x14ac:dyDescent="0.65">
      <c r="A21" s="73" t="s">
        <v>87</v>
      </c>
      <c r="B21" s="74" t="s">
        <v>222</v>
      </c>
      <c r="C21" s="74">
        <v>1</v>
      </c>
      <c r="D21" s="74" t="s">
        <v>223</v>
      </c>
      <c r="E21" s="68" t="str">
        <f>Baukon_neu[[#This Row],[Variante Nummer]]&amp;". "&amp;Baukon_neu[[#This Row],[Name Baukonstruktion]]&amp;" | " &amp;Baukon_neu[[#This Row],[Variante Name]]</f>
        <v>1. Außenwand Beton | konv. Beton</v>
      </c>
      <c r="F21" s="128" t="str">
        <f>IF(IFERROR(_xlfn.XLOOKUP(Baukon_neu[[#This Row],[ID Baukonstruktion]],Baukon_alle_A1_A3_results[ID Baukonstruktion],Baukon_alle_A1_A3_results[ID Baukonstruktion]),"okay")="okay", "okay","Achtung, id wird bereits verwendet")</f>
        <v>Achtung, id wird bereits verwendet</v>
      </c>
      <c r="G21" s="75"/>
      <c r="H21" s="73" t="s">
        <v>229</v>
      </c>
      <c r="I21" s="73" t="s">
        <v>225</v>
      </c>
      <c r="J21" s="74"/>
      <c r="K21" s="68">
        <f>IF(Baukon_neu[[#This Row],[ist Dämmstoff?]]="ja",Baukon_neu[[#This Row],[Dicke '[mm'] Referenz]]+_xlfn.XLOOKUP(RIGHT(Baukon_neu[[#Headers],[Dicke '[mm'] min]],3),Dämmstoffvarianten[Variante],Dämmstoffvarianten[Differenz Dämmstoffedicke zu Referenz '[mm']]),Baukon_neu[[#This Row],[Dicke '[mm'] Referenz]])</f>
        <v>0</v>
      </c>
      <c r="L21" s="68">
        <f>IF(Baukon_neu[[#This Row],[ist Dämmstoff?]]="ja",Baukon_neu[[#This Row],[Dicke '[mm'] Referenz]]+_xlfn.XLOOKUP(RIGHT(Baukon_neu[[#Headers],[Dicke '[mm'] max]],3),Dämmstoffvarianten[Variante],Dämmstoffvarianten[Differenz Dämmstoffedicke zu Referenz '[mm']]),Baukon_neu[[#This Row],[Dicke '[mm'] Referenz]])</f>
        <v>0</v>
      </c>
      <c r="M21" s="76">
        <v>1</v>
      </c>
      <c r="N21" s="75"/>
      <c r="O21" s="69">
        <f>IFERROR(Baukon_neu[[#This Row],[Dicke '[mm'] Referenz]]/1000*Baukon_neu[[#This Row],[Flächenanteil '[%']]],"")</f>
        <v>0</v>
      </c>
      <c r="P21" s="69">
        <f>IFERROR(Baukon_neu[[#This Row],[Dicke '[mm'] min]]/1000*Baukon_neu[[#This Row],[Flächenanteil '[%']]],"")</f>
        <v>0</v>
      </c>
      <c r="Q21" s="69">
        <f>IFERROR(Baukon_neu[[#This Row],[Dicke '[mm'] max]]/1000*Baukon_neu[[#This Row],[Flächenanteil '[%']]],"")</f>
        <v>0</v>
      </c>
      <c r="R21" s="77" t="s">
        <v>226</v>
      </c>
      <c r="S21" s="69" t="str">
        <f>IFERROR(_xlfn.XLOOKUP(Baukon_neu[[#This Row],[Produkt]],LeitRess_Materialien[Name],LeitRess_Materialien[Material_UUID]),"")</f>
        <v>e9ae96ee-ba8d-420d-9725-7c8abd06e082</v>
      </c>
      <c r="T21" s="69">
        <f>IF(OR(Baukon_neu[[#This Row],[Rohdichte '[kg/m³'], Eingabe ]]="", Baukon_neu[[#This Row],[Rohdichte '[kg/m³'], Eingabe ]]="0"),_xlfn.XLOOKUP(Baukon_neu[[#This Row],[LCA Datensatz]],LeitRess_Materialien[Material_UUID],LeitRess_Materialien[Rohdichte_'[kg/m3']]),Baukon_neu[[#This Row],[Rohdichte '[kg/m³'], Eingabe ]])</f>
        <v>7850</v>
      </c>
      <c r="U21" s="69">
        <f>IF(OR(Baukon_neu[[#This Row],[Flächengewicht '[kg/m²'], Eingabe ]]="", Baukon_neu[[#This Row],[Flächengewicht '[kg/m²'], Eingabe ]]="0"),_xlfn.XLOOKUP(Baukon_neu[[#This Row],[LCA Datensatz]],LeitRess_Materialien[Material_UUID],LeitRess_Materialien[Flächengewicht_'[kg/m2']]),Baukon_neu[[#This Row],[Flächengewicht '[kg/m²'], Eingabe ]])</f>
        <v>30</v>
      </c>
      <c r="V21" s="69">
        <f>IF(OR(Baukon_neu[[#This Row],[Längengewicht '[kg/m'], Eingabe ]]="", Baukon_neu[[#This Row],[Längengewicht '[kg/m'], Eingabe ]]="0"),_xlfn.XLOOKUP(Baukon_neu[[#This Row],[LCA Datensatz]],LeitRess_Materialien[Material_UUID],LeitRess_Materialien[Längengewicht_'[kg/m']]),Baukon_neu[[#This Row],[Längengewicht '[kg/m'], Eingabe ]])</f>
        <v>0</v>
      </c>
      <c r="W21" s="69">
        <f>IF(OR(Baukon_neu[[#This Row],[lambda_'[W/mK'], Eingabe ]]="", Baukon_neu[[#This Row],[lambda_'[W/mK'], Eingabe ]]="0"),_xlfn.XLOOKUP(Baukon_neu[[#This Row],[LCA Datensatz]],LeitRess_Materialien[Material_UUID],LeitRess_Materialien[lambda_'[W/mK']]),Baukon_neu[[#This Row],[lambda_'[W/mK'], Eingabe ]])</f>
        <v>50</v>
      </c>
      <c r="X21" s="75"/>
      <c r="Y21" s="75">
        <v>30</v>
      </c>
      <c r="Z21" s="75"/>
      <c r="AA21" s="75"/>
      <c r="AB21" s="69">
        <f>IFERROR(
    IF(Baukon_neu[[#This Row],[Länge '[m/m²']]]*Baukon_neu[[#This Row],[Längengewicht '[kg/m']]]&lt;&gt;0, Baukon_neu[[#This Row],[Länge '[m/m²']]]*Baukon_neu[[#This Row],[Längengewicht '[kg/m']]],
       IF( Baukon_neu[[#This Row],[Volumen '[m³/m²'] Referenz]]*Baukon_neu[[#This Row],[Rohdichte '[kg/m³']]]&lt;&gt;0,
        Baukon_neu[[#This Row],[Volumen '[m³/m²'] Referenz]]*Baukon_neu[[#This Row],[Rohdichte '[kg/m³']]],
                Baukon_neu[[#This Row],[Flächenanteil '[%']]]*Baukon_neu[[#This Row],[Flächengewicht '[kg/m²']]])),"")</f>
        <v>30</v>
      </c>
      <c r="AC21" s="69">
        <f>IFERROR(
    IF(Baukon_neu[[#This Row],[Länge '[m/m²']]]*Baukon_neu[[#This Row],[Längengewicht '[kg/m']]]&lt;&gt;0, Baukon_neu[[#This Row],[Länge '[m/m²']]]*Baukon_neu[[#This Row],[Längengewicht '[kg/m']]],
       IF( Baukon_neu[[#This Row],[Volumen '[m³/m²'] min]]*Baukon_neu[[#This Row],[Rohdichte '[kg/m³']]]&lt;&gt;0,
        Baukon_neu[[#This Row],[Volumen '[m³/m²'] min]]*Baukon_neu[[#This Row],[Rohdichte '[kg/m³']]],
                Baukon_neu[[#This Row],[Flächenanteil '[%']]]*Baukon_neu[[#This Row],[Flächengewicht '[kg/m²']]])),"")</f>
        <v>30</v>
      </c>
      <c r="AD21" s="69">
        <f>IFERROR(
    IF(Baukon_neu[[#This Row],[Länge '[m/m²']]]*Baukon_neu[[#This Row],[Längengewicht '[kg/m']]]&lt;&gt;0, Baukon_neu[[#This Row],[Länge '[m/m²']]]*Baukon_neu[[#This Row],[Längengewicht '[kg/m']]],
       IF( Baukon_neu[[#This Row],[Volumen '[m³/m²'] max]]*Baukon_neu[[#This Row],[Rohdichte '[kg/m³']]]&lt;&gt;0,
        Baukon_neu[[#This Row],[Volumen '[m³/m²'] max]]*Baukon_neu[[#This Row],[Rohdichte '[kg/m³']]],
                Baukon_neu[[#This Row],[Flächenanteil '[%']]]*Baukon_neu[[#This Row],[Flächengewicht '[kg/m²']]])),"")</f>
        <v>30</v>
      </c>
      <c r="AE21" s="69">
        <f>IFERROR(Baukon_neu[[#This Row],[Dicke '[mm'] Referenz]]/Baukon_neu[[#This Row],[lambda_'[W/mK']]],"")</f>
        <v>0</v>
      </c>
      <c r="AF21" s="70">
        <f>_xlfn.XLOOKUP(Baukon_neu[[#This Row],[LCA Datensatz]],LeitRess_Materialien[Material_UUID],LeitRess_Materialien[RMI '[kg Primärrohstoffe / kg']])*Baukon_neu[[#This Row],[Masse '[kg/m²'] Referenz]]</f>
        <v>156.9172507207326</v>
      </c>
      <c r="AG21" s="70">
        <f>_xlfn.XLOOKUP(Baukon_neu[[#This Row],[LCA Datensatz]],LeitRess_Materialien[Material_UUID],LeitRess_Materialien[RMI '[kg Primärrohstoffe / kg']])*Baukon_neu[[#This Row],[Masse '[kg/m²'] min]]</f>
        <v>156.9172507207326</v>
      </c>
      <c r="AH21" s="70">
        <f>_xlfn.XLOOKUP(Baukon_neu[[#This Row],[LCA Datensatz]],LeitRess_Materialien[Material_UUID],LeitRess_Materialien[RMI '[kg Primärrohstoffe / kg']])*Baukon_neu[[#This Row],[Masse '[kg/m²'] max]]</f>
        <v>156.9172507207326</v>
      </c>
      <c r="AI21" s="70">
        <f>_xlfn.XLOOKUP(Baukon_neu[[#This Row],[LCA Datensatz]],LeitRess_Materialien[Material_UUID],LeitRess_Materialien[TMR '[kg Gesamtmaterialaufwand/kg']])*Baukon_neu[[#This Row],[Masse '[kg/m²'] Referenz]]</f>
        <v>247.65458355884402</v>
      </c>
      <c r="AJ21" s="70">
        <f>_xlfn.XLOOKUP(Baukon_neu[[#This Row],[LCA Datensatz]],LeitRess_Materialien[Material_UUID],LeitRess_Materialien[TMR '[kg Gesamtmaterialaufwand/kg']])*Baukon_neu[[#This Row],[Masse '[kg/m²'] min]]</f>
        <v>247.65458355884402</v>
      </c>
      <c r="AK21" s="70">
        <f>_xlfn.XLOOKUP(Baukon_neu[[#This Row],[LCA Datensatz]],LeitRess_Materialien[Material_UUID],LeitRess_Materialien[TMR '[kg Gesamtmaterialaufwand/kg']])*Baukon_neu[[#This Row],[Masse '[kg/m²'] max]]</f>
        <v>247.65458355884402</v>
      </c>
      <c r="AL21" s="70">
        <f>_xlfn.XLOOKUP(Baukon_neu[[#This Row],[LCA Datensatz]],LeitRess_Materialien[Material_UUID],LeitRess_Materialien[GWP '[kg CO2-Äqu./kg']])*Baukon_neu[[#This Row],[Masse '[kg/m²'] Referenz]]</f>
        <v>65.011005572263201</v>
      </c>
      <c r="AM21" s="70">
        <f>_xlfn.XLOOKUP(Baukon_neu[[#This Row],[LCA Datensatz]],LeitRess_Materialien[Material_UUID],LeitRess_Materialien[GWP '[kg CO2-Äqu./kg']])*Baukon_neu[[#This Row],[Masse '[kg/m²'] min]]</f>
        <v>65.011005572263201</v>
      </c>
      <c r="AN21" s="70">
        <f>_xlfn.XLOOKUP(Baukon_neu[[#This Row],[LCA Datensatz]],LeitRess_Materialien[Material_UUID],LeitRess_Materialien[GWP '[kg CO2-Äqu./kg']])*Baukon_neu[[#This Row],[Masse '[kg/m²'] max]]</f>
        <v>65.011005572263201</v>
      </c>
      <c r="AO21" s="70">
        <f>_xlfn.XLOOKUP(Baukon_neu[[#This Row],[LCA Datensatz]],LeitRess_Materialien[Material_UUID],LeitRess_Materialien[PENRT '[MJ/kg']])*Baukon_neu[[#This Row],[Masse '[kg/m²'] Referenz]]</f>
        <v>916.78439140811997</v>
      </c>
      <c r="AP21" s="70">
        <f>_xlfn.XLOOKUP(Baukon_neu[[#This Row],[LCA Datensatz]],LeitRess_Materialien[Material_UUID],LeitRess_Materialien[PENRT '[MJ/kg']])*Baukon_neu[[#This Row],[Masse '[kg/m²'] min]]</f>
        <v>916.78439140811997</v>
      </c>
      <c r="AQ21" s="70">
        <f>_xlfn.XLOOKUP(Baukon_neu[[#This Row],[LCA Datensatz]],LeitRess_Materialien[Material_UUID],LeitRess_Materialien[PENRT '[MJ/kg']])*Baukon_neu[[#This Row],[Masse '[kg/m²'] max]]</f>
        <v>916.78439140811997</v>
      </c>
      <c r="AR21" s="70" t="e">
        <f>_xlfn.XLOOKUP(Baukon_neu[[#This Row],[LCA Datensatz]],LeitRess_Materialien[Material_UUID],#REF!)*Baukon_neu[[#This Row],[Masse '[kg/m²'] Referenz]]</f>
        <v>#REF!</v>
      </c>
      <c r="AS21" s="70" t="e">
        <f>_xlfn.XLOOKUP(Baukon_neu[[#This Row],[LCA Datensatz]],LeitRess_Materialien[Material_UUID],#REF!)*Baukon_neu[[#This Row],[Masse '[kg/m²'] min]]</f>
        <v>#REF!</v>
      </c>
      <c r="AT21" s="70" t="e">
        <f>_xlfn.XLOOKUP(Baukon_neu[[#This Row],[LCA Datensatz]],LeitRess_Materialien[Material_UUID],#REF!)*Baukon_neu[[#This Row],[Masse '[kg/m²'] max]]</f>
        <v>#REF!</v>
      </c>
      <c r="AU21" s="70">
        <f>_xlfn.XLOOKUP(Baukon_neu[[#This Row],[LCA Datensatz]],LeitRess_Materialien[Material_UUID],LeitRess_Materialien[WDP '[m³ weighted water/kg']])*Baukon_neu[[#This Row],[Masse '[kg/m²'] Referenz]]</f>
        <v>27.420244131722967</v>
      </c>
      <c r="AV21" s="70">
        <f>_xlfn.XLOOKUP(Baukon_neu[[#This Row],[LCA Datensatz]],LeitRess_Materialien[Material_UUID],LeitRess_Materialien[WDP '[m³ weighted water/kg']])*Baukon_neu[[#This Row],[Masse '[kg/m²'] min]]</f>
        <v>27.420244131722967</v>
      </c>
      <c r="AW21" s="70">
        <f>_xlfn.XLOOKUP(Baukon_neu[[#This Row],[LCA Datensatz]],LeitRess_Materialien[Material_UUID],LeitRess_Materialien[WDP '[m³ weighted water/kg']])*Baukon_neu[[#This Row],[Masse '[kg/m²'] max]]</f>
        <v>27.420244131722967</v>
      </c>
      <c r="AX21" s="78">
        <f>Baukon_neu[[#This Row],[GWP '[kg CO2-Äqu./m²'] Referenz]]/'Ausgabe Tabellen'!$C$21+Baukon_neu[[#This Row],[PENRT '[MJ/m²'] Referenz]]/'Ausgabe Tabellen'!$C$22+Baukon_neu[[#This Row],[RMI '[kg Primärrohstoffe/m²'] Referenz]]/'Ausgabe Tabellen'!$C$23+Baukon_neu[[#This Row],[WDP '[m² weighted water/m²'] Referenz]]/'Ausgabe Tabellen'!$C$24</f>
        <v>1.9179550258186965E-2</v>
      </c>
      <c r="AY21" s="78">
        <f>Baukon_neu[[#This Row],[GWP '[kg CO2-Äqu./m²'] min]]/'Ausgabe Tabellen'!$C$21+Baukon_neu[[#This Row],[PENRT '[MJ/m²'] min]]/'Ausgabe Tabellen'!$C$22+Baukon_neu[[#This Row],[RMI '[kg Primärrohstoffe/m²'] min]]/'Ausgabe Tabellen'!$C$23+Baukon_neu[[#This Row],[WDP '[m² weighted water/m²'] min]]/'Ausgabe Tabellen'!$C$24</f>
        <v>1.9179550258186965E-2</v>
      </c>
      <c r="AZ21" s="78">
        <f>Baukon_neu[[#This Row],[GWP '[kg CO2-Äqu./m²'] max]]/'Ausgabe Tabellen'!$C$21+Baukon_neu[[#This Row],[PENRT '[MJ/m²'] max]]/'Ausgabe Tabellen'!$C$22+Baukon_neu[[#This Row],[RMI '[kg Primärrohstoffe/m²'] max]]/'Ausgabe Tabellen'!$C$23+Baukon_neu[[#This Row],[WDP '[m² weighted water/m²'] max]]/'Ausgabe Tabellen'!$C$24</f>
        <v>1.9179550258186965E-2</v>
      </c>
    </row>
    <row r="22" spans="1:52" x14ac:dyDescent="0.65">
      <c r="A22" s="73" t="s">
        <v>87</v>
      </c>
      <c r="B22" s="74" t="s">
        <v>222</v>
      </c>
      <c r="C22" s="74">
        <v>2</v>
      </c>
      <c r="D22" s="74" t="s">
        <v>230</v>
      </c>
      <c r="E22" s="68" t="str">
        <f>Baukon_neu[[#This Row],[Variante Nummer]]&amp;". "&amp;Baukon_neu[[#This Row],[Name Baukonstruktion]]&amp;" | " &amp;Baukon_neu[[#This Row],[Variante Name]]</f>
        <v>2. Außenwand Beton | R-Beton</v>
      </c>
      <c r="F22" s="128" t="str">
        <f>IF(IFERROR(_xlfn.XLOOKUP(Baukon_neu[[#This Row],[ID Baukonstruktion]],Baukon_alle_A1_A3_results[ID Baukonstruktion],Baukon_alle_A1_A3_results[ID Baukonstruktion]),"okay")="okay", "okay","Achtung, id wird bereits verwendet")</f>
        <v>Achtung, id wird bereits verwendet</v>
      </c>
      <c r="G22" s="75"/>
      <c r="H22" s="73" t="s">
        <v>231</v>
      </c>
      <c r="I22" s="73" t="s">
        <v>225</v>
      </c>
      <c r="J22" s="74">
        <v>300</v>
      </c>
      <c r="K22" s="68">
        <f>IF(Baukon_neu[[#This Row],[ist Dämmstoff?]]="ja",Baukon_neu[[#This Row],[Dicke '[mm'] Referenz]]+_xlfn.XLOOKUP(RIGHT(Baukon_neu[[#Headers],[Dicke '[mm'] min]],3),Dämmstoffvarianten[Variante],Dämmstoffvarianten[Differenz Dämmstoffedicke zu Referenz '[mm']]),Baukon_neu[[#This Row],[Dicke '[mm'] Referenz]])</f>
        <v>300</v>
      </c>
      <c r="L22" s="68">
        <f>IF(Baukon_neu[[#This Row],[ist Dämmstoff?]]="ja",Baukon_neu[[#This Row],[Dicke '[mm'] Referenz]]+_xlfn.XLOOKUP(RIGHT(Baukon_neu[[#Headers],[Dicke '[mm'] max]],3),Dämmstoffvarianten[Variante],Dämmstoffvarianten[Differenz Dämmstoffedicke zu Referenz '[mm']]),Baukon_neu[[#This Row],[Dicke '[mm'] Referenz]])</f>
        <v>300</v>
      </c>
      <c r="M22" s="76">
        <v>1</v>
      </c>
      <c r="N22" s="75"/>
      <c r="O22" s="69">
        <f>IFERROR(Baukon_neu[[#This Row],[Dicke '[mm'] Referenz]]/1000*Baukon_neu[[#This Row],[Flächenanteil '[%']]],"")</f>
        <v>0.3</v>
      </c>
      <c r="P22" s="69">
        <f>IFERROR(Baukon_neu[[#This Row],[Dicke '[mm'] min]]/1000*Baukon_neu[[#This Row],[Flächenanteil '[%']]],"")</f>
        <v>0.3</v>
      </c>
      <c r="Q22" s="69">
        <f>IFERROR(Baukon_neu[[#This Row],[Dicke '[mm'] max]]/1000*Baukon_neu[[#This Row],[Flächenanteil '[%']]],"")</f>
        <v>0.3</v>
      </c>
      <c r="R22" s="77" t="s">
        <v>226</v>
      </c>
      <c r="S22" s="69" t="str">
        <f>IFERROR(_xlfn.XLOOKUP(Baukon_neu[[#This Row],[Produkt]],LeitRess_Materialien[Name],LeitRess_Materialien[Material_UUID]),"")</f>
        <v>ded82f5b-0581-4d04-ad83-f9cebaa9a04b</v>
      </c>
      <c r="T22" s="69">
        <f>IF(OR(Baukon_neu[[#This Row],[Rohdichte '[kg/m³'], Eingabe ]]="", Baukon_neu[[#This Row],[Rohdichte '[kg/m³'], Eingabe ]]="0"),_xlfn.XLOOKUP(Baukon_neu[[#This Row],[LCA Datensatz]],LeitRess_Materialien[Material_UUID],LeitRess_Materialien[Rohdichte_'[kg/m3']]),Baukon_neu[[#This Row],[Rohdichte '[kg/m³'], Eingabe ]])</f>
        <v>2400</v>
      </c>
      <c r="U22" s="69">
        <f>IF(OR(Baukon_neu[[#This Row],[Flächengewicht '[kg/m²'], Eingabe ]]="", Baukon_neu[[#This Row],[Flächengewicht '[kg/m²'], Eingabe ]]="0"),_xlfn.XLOOKUP(Baukon_neu[[#This Row],[LCA Datensatz]],LeitRess_Materialien[Material_UUID],LeitRess_Materialien[Flächengewicht_'[kg/m2']]),Baukon_neu[[#This Row],[Flächengewicht '[kg/m²'], Eingabe ]])</f>
        <v>0</v>
      </c>
      <c r="V22" s="69">
        <f>IF(OR(Baukon_neu[[#This Row],[Längengewicht '[kg/m'], Eingabe ]]="", Baukon_neu[[#This Row],[Längengewicht '[kg/m'], Eingabe ]]="0"),_xlfn.XLOOKUP(Baukon_neu[[#This Row],[LCA Datensatz]],LeitRess_Materialien[Material_UUID],LeitRess_Materialien[Längengewicht_'[kg/m']]),Baukon_neu[[#This Row],[Längengewicht '[kg/m'], Eingabe ]])</f>
        <v>0</v>
      </c>
      <c r="W22" s="69">
        <f>IF(OR(Baukon_neu[[#This Row],[lambda_'[W/mK'], Eingabe ]]="", Baukon_neu[[#This Row],[lambda_'[W/mK'], Eingabe ]]="0"),_xlfn.XLOOKUP(Baukon_neu[[#This Row],[LCA Datensatz]],LeitRess_Materialien[Material_UUID],LeitRess_Materialien[lambda_'[W/mK']]),Baukon_neu[[#This Row],[lambda_'[W/mK'], Eingabe ]])</f>
        <v>1.4</v>
      </c>
      <c r="X22" s="75"/>
      <c r="Y22" s="75"/>
      <c r="Z22" s="75"/>
      <c r="AA22" s="75"/>
      <c r="AB22" s="69">
        <f>IFERROR(
    IF(Baukon_neu[[#This Row],[Länge '[m/m²']]]*Baukon_neu[[#This Row],[Längengewicht '[kg/m']]]&lt;&gt;0, Baukon_neu[[#This Row],[Länge '[m/m²']]]*Baukon_neu[[#This Row],[Längengewicht '[kg/m']]],
       IF( Baukon_neu[[#This Row],[Volumen '[m³/m²'] Referenz]]*Baukon_neu[[#This Row],[Rohdichte '[kg/m³']]]&lt;&gt;0,
        Baukon_neu[[#This Row],[Volumen '[m³/m²'] Referenz]]*Baukon_neu[[#This Row],[Rohdichte '[kg/m³']]],
                Baukon_neu[[#This Row],[Flächenanteil '[%']]]*Baukon_neu[[#This Row],[Flächengewicht '[kg/m²']]])),"")</f>
        <v>720</v>
      </c>
      <c r="AC22" s="69">
        <f>IFERROR(
    IF(Baukon_neu[[#This Row],[Länge '[m/m²']]]*Baukon_neu[[#This Row],[Längengewicht '[kg/m']]]&lt;&gt;0, Baukon_neu[[#This Row],[Länge '[m/m²']]]*Baukon_neu[[#This Row],[Längengewicht '[kg/m']]],
       IF( Baukon_neu[[#This Row],[Volumen '[m³/m²'] min]]*Baukon_neu[[#This Row],[Rohdichte '[kg/m³']]]&lt;&gt;0,
        Baukon_neu[[#This Row],[Volumen '[m³/m²'] min]]*Baukon_neu[[#This Row],[Rohdichte '[kg/m³']]],
                Baukon_neu[[#This Row],[Flächenanteil '[%']]]*Baukon_neu[[#This Row],[Flächengewicht '[kg/m²']]])),"")</f>
        <v>720</v>
      </c>
      <c r="AD22" s="69">
        <f>IFERROR(
    IF(Baukon_neu[[#This Row],[Länge '[m/m²']]]*Baukon_neu[[#This Row],[Längengewicht '[kg/m']]]&lt;&gt;0, Baukon_neu[[#This Row],[Länge '[m/m²']]]*Baukon_neu[[#This Row],[Längengewicht '[kg/m']]],
       IF( Baukon_neu[[#This Row],[Volumen '[m³/m²'] max]]*Baukon_neu[[#This Row],[Rohdichte '[kg/m³']]]&lt;&gt;0,
        Baukon_neu[[#This Row],[Volumen '[m³/m²'] max]]*Baukon_neu[[#This Row],[Rohdichte '[kg/m³']]],
                Baukon_neu[[#This Row],[Flächenanteil '[%']]]*Baukon_neu[[#This Row],[Flächengewicht '[kg/m²']]])),"")</f>
        <v>720</v>
      </c>
      <c r="AE22" s="69">
        <f>IFERROR(Baukon_neu[[#This Row],[Dicke '[mm'] Referenz]]/Baukon_neu[[#This Row],[lambda_'[W/mK']]],"")</f>
        <v>214.28571428571431</v>
      </c>
      <c r="AF22" s="70">
        <f>_xlfn.XLOOKUP(Baukon_neu[[#This Row],[LCA Datensatz]],LeitRess_Materialien[Material_UUID],LeitRess_Materialien[RMI '[kg Primärrohstoffe / kg']])*Baukon_neu[[#This Row],[Masse '[kg/m²'] Referenz]]</f>
        <v>545.15049187433442</v>
      </c>
      <c r="AG22" s="70">
        <f>_xlfn.XLOOKUP(Baukon_neu[[#This Row],[LCA Datensatz]],LeitRess_Materialien[Material_UUID],LeitRess_Materialien[RMI '[kg Primärrohstoffe / kg']])*Baukon_neu[[#This Row],[Masse '[kg/m²'] min]]</f>
        <v>545.15049187433442</v>
      </c>
      <c r="AH22" s="70">
        <f>_xlfn.XLOOKUP(Baukon_neu[[#This Row],[LCA Datensatz]],LeitRess_Materialien[Material_UUID],LeitRess_Materialien[RMI '[kg Primärrohstoffe / kg']])*Baukon_neu[[#This Row],[Masse '[kg/m²'] max]]</f>
        <v>545.15049187433442</v>
      </c>
      <c r="AI22" s="70">
        <f>_xlfn.XLOOKUP(Baukon_neu[[#This Row],[LCA Datensatz]],LeitRess_Materialien[Material_UUID],LeitRess_Materialien[TMR '[kg Gesamtmaterialaufwand/kg']])*Baukon_neu[[#This Row],[Masse '[kg/m²'] Referenz]]</f>
        <v>591.41349759573052</v>
      </c>
      <c r="AJ22" s="70">
        <f>_xlfn.XLOOKUP(Baukon_neu[[#This Row],[LCA Datensatz]],LeitRess_Materialien[Material_UUID],LeitRess_Materialien[TMR '[kg Gesamtmaterialaufwand/kg']])*Baukon_neu[[#This Row],[Masse '[kg/m²'] min]]</f>
        <v>591.41349759573052</v>
      </c>
      <c r="AK22" s="70">
        <f>_xlfn.XLOOKUP(Baukon_neu[[#This Row],[LCA Datensatz]],LeitRess_Materialien[Material_UUID],LeitRess_Materialien[TMR '[kg Gesamtmaterialaufwand/kg']])*Baukon_neu[[#This Row],[Masse '[kg/m²'] max]]</f>
        <v>591.41349759573052</v>
      </c>
      <c r="AL22" s="70">
        <f>_xlfn.XLOOKUP(Baukon_neu[[#This Row],[LCA Datensatz]],LeitRess_Materialien[Material_UUID],LeitRess_Materialien[GWP '[kg CO2-Äqu./kg']])*Baukon_neu[[#This Row],[Masse '[kg/m²'] Referenz]]</f>
        <v>60.829263449980544</v>
      </c>
      <c r="AM22" s="70">
        <f>_xlfn.XLOOKUP(Baukon_neu[[#This Row],[LCA Datensatz]],LeitRess_Materialien[Material_UUID],LeitRess_Materialien[GWP '[kg CO2-Äqu./kg']])*Baukon_neu[[#This Row],[Masse '[kg/m²'] min]]</f>
        <v>60.829263449980544</v>
      </c>
      <c r="AN22" s="70">
        <f>_xlfn.XLOOKUP(Baukon_neu[[#This Row],[LCA Datensatz]],LeitRess_Materialien[Material_UUID],LeitRess_Materialien[GWP '[kg CO2-Äqu./kg']])*Baukon_neu[[#This Row],[Masse '[kg/m²'] max]]</f>
        <v>60.829263449980544</v>
      </c>
      <c r="AO22" s="70">
        <f>_xlfn.XLOOKUP(Baukon_neu[[#This Row],[LCA Datensatz]],LeitRess_Materialien[Material_UUID],LeitRess_Materialien[PENRT '[MJ/kg']])*Baukon_neu[[#This Row],[Masse '[kg/m²'] Referenz]]</f>
        <v>404.7989216955844</v>
      </c>
      <c r="AP22" s="70">
        <f>_xlfn.XLOOKUP(Baukon_neu[[#This Row],[LCA Datensatz]],LeitRess_Materialien[Material_UUID],LeitRess_Materialien[PENRT '[MJ/kg']])*Baukon_neu[[#This Row],[Masse '[kg/m²'] min]]</f>
        <v>404.7989216955844</v>
      </c>
      <c r="AQ22" s="70">
        <f>_xlfn.XLOOKUP(Baukon_neu[[#This Row],[LCA Datensatz]],LeitRess_Materialien[Material_UUID],LeitRess_Materialien[PENRT '[MJ/kg']])*Baukon_neu[[#This Row],[Masse '[kg/m²'] max]]</f>
        <v>404.7989216955844</v>
      </c>
      <c r="AR22" s="70" t="e">
        <f>_xlfn.XLOOKUP(Baukon_neu[[#This Row],[LCA Datensatz]],LeitRess_Materialien[Material_UUID],#REF!)*Baukon_neu[[#This Row],[Masse '[kg/m²'] Referenz]]</f>
        <v>#REF!</v>
      </c>
      <c r="AS22" s="70" t="e">
        <f>_xlfn.XLOOKUP(Baukon_neu[[#This Row],[LCA Datensatz]],LeitRess_Materialien[Material_UUID],#REF!)*Baukon_neu[[#This Row],[Masse '[kg/m²'] min]]</f>
        <v>#REF!</v>
      </c>
      <c r="AT22" s="70" t="e">
        <f>_xlfn.XLOOKUP(Baukon_neu[[#This Row],[LCA Datensatz]],LeitRess_Materialien[Material_UUID],#REF!)*Baukon_neu[[#This Row],[Masse '[kg/m²'] max]]</f>
        <v>#REF!</v>
      </c>
      <c r="AU22" s="70">
        <f>_xlfn.XLOOKUP(Baukon_neu[[#This Row],[LCA Datensatz]],LeitRess_Materialien[Material_UUID],LeitRess_Materialien[WDP '[m³ weighted water/kg']])*Baukon_neu[[#This Row],[Masse '[kg/m²'] Referenz]]</f>
        <v>30.926048843169628</v>
      </c>
      <c r="AV22" s="70">
        <f>_xlfn.XLOOKUP(Baukon_neu[[#This Row],[LCA Datensatz]],LeitRess_Materialien[Material_UUID],LeitRess_Materialien[WDP '[m³ weighted water/kg']])*Baukon_neu[[#This Row],[Masse '[kg/m²'] min]]</f>
        <v>30.926048843169628</v>
      </c>
      <c r="AW22" s="70">
        <f>_xlfn.XLOOKUP(Baukon_neu[[#This Row],[LCA Datensatz]],LeitRess_Materialien[Material_UUID],LeitRess_Materialien[WDP '[m³ weighted water/kg']])*Baukon_neu[[#This Row],[Masse '[kg/m²'] max]]</f>
        <v>30.926048843169628</v>
      </c>
      <c r="AX22" s="78">
        <f>Baukon_neu[[#This Row],[GWP '[kg CO2-Äqu./m²'] Referenz]]/'Ausgabe Tabellen'!$C$21+Baukon_neu[[#This Row],[PENRT '[MJ/m²'] Referenz]]/'Ausgabe Tabellen'!$C$22+Baukon_neu[[#This Row],[RMI '[kg Primärrohstoffe/m²'] Referenz]]/'Ausgabe Tabellen'!$C$23+Baukon_neu[[#This Row],[WDP '[m² weighted water/m²'] Referenz]]/'Ausgabe Tabellen'!$C$24</f>
        <v>2.6091738479764114E-2</v>
      </c>
      <c r="AY22" s="78">
        <f>Baukon_neu[[#This Row],[GWP '[kg CO2-Äqu./m²'] min]]/'Ausgabe Tabellen'!$C$21+Baukon_neu[[#This Row],[PENRT '[MJ/m²'] min]]/'Ausgabe Tabellen'!$C$22+Baukon_neu[[#This Row],[RMI '[kg Primärrohstoffe/m²'] min]]/'Ausgabe Tabellen'!$C$23+Baukon_neu[[#This Row],[WDP '[m² weighted water/m²'] min]]/'Ausgabe Tabellen'!$C$24</f>
        <v>2.6091738479764114E-2</v>
      </c>
      <c r="AZ22" s="78">
        <f>Baukon_neu[[#This Row],[GWP '[kg CO2-Äqu./m²'] max]]/'Ausgabe Tabellen'!$C$21+Baukon_neu[[#This Row],[PENRT '[MJ/m²'] max]]/'Ausgabe Tabellen'!$C$22+Baukon_neu[[#This Row],[RMI '[kg Primärrohstoffe/m²'] max]]/'Ausgabe Tabellen'!$C$23+Baukon_neu[[#This Row],[WDP '[m² weighted water/m²'] max]]/'Ausgabe Tabellen'!$C$24</f>
        <v>2.6091738479764114E-2</v>
      </c>
    </row>
    <row r="23" spans="1:52" x14ac:dyDescent="0.65">
      <c r="A23" s="73" t="s">
        <v>87</v>
      </c>
      <c r="B23" s="74" t="s">
        <v>222</v>
      </c>
      <c r="C23" s="74">
        <v>2</v>
      </c>
      <c r="D23" s="74" t="s">
        <v>230</v>
      </c>
      <c r="E23" s="68" t="str">
        <f>Baukon_neu[[#This Row],[Variante Nummer]]&amp;". "&amp;Baukon_neu[[#This Row],[Name Baukonstruktion]]&amp;" | " &amp;Baukon_neu[[#This Row],[Variante Name]]</f>
        <v>2. Außenwand Beton | R-Beton</v>
      </c>
      <c r="F23" s="128" t="str">
        <f>IF(IFERROR(_xlfn.XLOOKUP(Baukon_neu[[#This Row],[ID Baukonstruktion]],Baukon_alle_A1_A3_results[ID Baukonstruktion],Baukon_alle_A1_A3_results[ID Baukonstruktion]),"okay")="okay", "okay","Achtung, id wird bereits verwendet")</f>
        <v>Achtung, id wird bereits verwendet</v>
      </c>
      <c r="G23" s="75"/>
      <c r="H23" s="73" t="s">
        <v>227</v>
      </c>
      <c r="I23" s="73" t="s">
        <v>228</v>
      </c>
      <c r="J23" s="74">
        <v>100</v>
      </c>
      <c r="K23" s="68">
        <f>IF(Baukon_neu[[#This Row],[ist Dämmstoff?]]="ja",Baukon_neu[[#This Row],[Dicke '[mm'] Referenz]]+_xlfn.XLOOKUP(RIGHT(Baukon_neu[[#Headers],[Dicke '[mm'] min]],3),Dämmstoffvarianten[Variante],Dämmstoffvarianten[Differenz Dämmstoffedicke zu Referenz '[mm']]),Baukon_neu[[#This Row],[Dicke '[mm'] Referenz]])</f>
        <v>60</v>
      </c>
      <c r="L23" s="68">
        <f>IF(Baukon_neu[[#This Row],[ist Dämmstoff?]]="ja",Baukon_neu[[#This Row],[Dicke '[mm'] Referenz]]+_xlfn.XLOOKUP(RIGHT(Baukon_neu[[#Headers],[Dicke '[mm'] max]],3),Dämmstoffvarianten[Variante],Dämmstoffvarianten[Differenz Dämmstoffedicke zu Referenz '[mm']]),Baukon_neu[[#This Row],[Dicke '[mm'] Referenz]])</f>
        <v>180</v>
      </c>
      <c r="M23" s="76">
        <v>1</v>
      </c>
      <c r="N23" s="75"/>
      <c r="O23" s="69">
        <f>IFERROR(Baukon_neu[[#This Row],[Dicke '[mm'] Referenz]]/1000*Baukon_neu[[#This Row],[Flächenanteil '[%']]],"")</f>
        <v>0.1</v>
      </c>
      <c r="P23" s="69">
        <f>IFERROR(Baukon_neu[[#This Row],[Dicke '[mm'] min]]/1000*Baukon_neu[[#This Row],[Flächenanteil '[%']]],"")</f>
        <v>0.06</v>
      </c>
      <c r="Q23" s="69">
        <f>IFERROR(Baukon_neu[[#This Row],[Dicke '[mm'] max]]/1000*Baukon_neu[[#This Row],[Flächenanteil '[%']]],"")</f>
        <v>0.18</v>
      </c>
      <c r="R23" s="77" t="s">
        <v>226</v>
      </c>
      <c r="S23" s="69" t="str">
        <f>IFERROR(_xlfn.XLOOKUP(Baukon_neu[[#This Row],[Produkt]],LeitRess_Materialien[Name],LeitRess_Materialien[Material_UUID]),"")</f>
        <v>f8afef87-5de3-4996-838c-1f2af9ef81df</v>
      </c>
      <c r="T23" s="69">
        <f>IF(OR(Baukon_neu[[#This Row],[Rohdichte '[kg/m³'], Eingabe ]]="", Baukon_neu[[#This Row],[Rohdichte '[kg/m³'], Eingabe ]]="0"),_xlfn.XLOOKUP(Baukon_neu[[#This Row],[LCA Datensatz]],LeitRess_Materialien[Material_UUID],LeitRess_Materialien[Rohdichte_'[kg/m3']]),Baukon_neu[[#This Row],[Rohdichte '[kg/m³'], Eingabe ]])</f>
        <v>46.25</v>
      </c>
      <c r="U23" s="69">
        <f>IF(OR(Baukon_neu[[#This Row],[Flächengewicht '[kg/m²'], Eingabe ]]="", Baukon_neu[[#This Row],[Flächengewicht '[kg/m²'], Eingabe ]]="0"),_xlfn.XLOOKUP(Baukon_neu[[#This Row],[LCA Datensatz]],LeitRess_Materialien[Material_UUID],LeitRess_Materialien[Flächengewicht_'[kg/m2']]),Baukon_neu[[#This Row],[Flächengewicht '[kg/m²'], Eingabe ]])</f>
        <v>0</v>
      </c>
      <c r="V23" s="69">
        <f>IF(OR(Baukon_neu[[#This Row],[Längengewicht '[kg/m'], Eingabe ]]="", Baukon_neu[[#This Row],[Längengewicht '[kg/m'], Eingabe ]]="0"),_xlfn.XLOOKUP(Baukon_neu[[#This Row],[LCA Datensatz]],LeitRess_Materialien[Material_UUID],LeitRess_Materialien[Längengewicht_'[kg/m']]),Baukon_neu[[#This Row],[Längengewicht '[kg/m'], Eingabe ]])</f>
        <v>0</v>
      </c>
      <c r="W23" s="69">
        <f>IF(OR(Baukon_neu[[#This Row],[lambda_'[W/mK'], Eingabe ]]="", Baukon_neu[[#This Row],[lambda_'[W/mK'], Eingabe ]]="0"),_xlfn.XLOOKUP(Baukon_neu[[#This Row],[LCA Datensatz]],LeitRess_Materialien[Material_UUID],LeitRess_Materialien[lambda_'[W/mK']]),Baukon_neu[[#This Row],[lambda_'[W/mK'], Eingabe ]])</f>
        <v>4.2000000000000003E-2</v>
      </c>
      <c r="X23" s="75"/>
      <c r="Y23" s="75"/>
      <c r="Z23" s="75"/>
      <c r="AA23" s="75"/>
      <c r="AB23" s="69">
        <f>IFERROR(
    IF(Baukon_neu[[#This Row],[Länge '[m/m²']]]*Baukon_neu[[#This Row],[Längengewicht '[kg/m']]]&lt;&gt;0, Baukon_neu[[#This Row],[Länge '[m/m²']]]*Baukon_neu[[#This Row],[Längengewicht '[kg/m']]],
       IF( Baukon_neu[[#This Row],[Volumen '[m³/m²'] Referenz]]*Baukon_neu[[#This Row],[Rohdichte '[kg/m³']]]&lt;&gt;0,
        Baukon_neu[[#This Row],[Volumen '[m³/m²'] Referenz]]*Baukon_neu[[#This Row],[Rohdichte '[kg/m³']]],
                Baukon_neu[[#This Row],[Flächenanteil '[%']]]*Baukon_neu[[#This Row],[Flächengewicht '[kg/m²']]])),"")</f>
        <v>4.625</v>
      </c>
      <c r="AC23" s="69">
        <f>IFERROR(
    IF(Baukon_neu[[#This Row],[Länge '[m/m²']]]*Baukon_neu[[#This Row],[Längengewicht '[kg/m']]]&lt;&gt;0, Baukon_neu[[#This Row],[Länge '[m/m²']]]*Baukon_neu[[#This Row],[Längengewicht '[kg/m']]],
       IF( Baukon_neu[[#This Row],[Volumen '[m³/m²'] min]]*Baukon_neu[[#This Row],[Rohdichte '[kg/m³']]]&lt;&gt;0,
        Baukon_neu[[#This Row],[Volumen '[m³/m²'] min]]*Baukon_neu[[#This Row],[Rohdichte '[kg/m³']]],
                Baukon_neu[[#This Row],[Flächenanteil '[%']]]*Baukon_neu[[#This Row],[Flächengewicht '[kg/m²']]])),"")</f>
        <v>2.7749999999999999</v>
      </c>
      <c r="AD23" s="69">
        <f>IFERROR(
    IF(Baukon_neu[[#This Row],[Länge '[m/m²']]]*Baukon_neu[[#This Row],[Längengewicht '[kg/m']]]&lt;&gt;0, Baukon_neu[[#This Row],[Länge '[m/m²']]]*Baukon_neu[[#This Row],[Längengewicht '[kg/m']]],
       IF( Baukon_neu[[#This Row],[Volumen '[m³/m²'] max]]*Baukon_neu[[#This Row],[Rohdichte '[kg/m³']]]&lt;&gt;0,
        Baukon_neu[[#This Row],[Volumen '[m³/m²'] max]]*Baukon_neu[[#This Row],[Rohdichte '[kg/m³']]],
                Baukon_neu[[#This Row],[Flächenanteil '[%']]]*Baukon_neu[[#This Row],[Flächengewicht '[kg/m²']]])),"")</f>
        <v>8.3249999999999993</v>
      </c>
      <c r="AE23" s="69">
        <f>IFERROR(Baukon_neu[[#This Row],[Dicke '[mm'] Referenz]]/Baukon_neu[[#This Row],[lambda_'[W/mK']]],"")</f>
        <v>2380.9523809523807</v>
      </c>
      <c r="AF23" s="70">
        <f>_xlfn.XLOOKUP(Baukon_neu[[#This Row],[LCA Datensatz]],LeitRess_Materialien[Material_UUID],LeitRess_Materialien[RMI '[kg Primärrohstoffe / kg']])*Baukon_neu[[#This Row],[Masse '[kg/m²'] Referenz]]</f>
        <v>8.9126533214270101</v>
      </c>
      <c r="AG23" s="70">
        <f>_xlfn.XLOOKUP(Baukon_neu[[#This Row],[LCA Datensatz]],LeitRess_Materialien[Material_UUID],LeitRess_Materialien[RMI '[kg Primärrohstoffe / kg']])*Baukon_neu[[#This Row],[Masse '[kg/m²'] min]]</f>
        <v>5.3475919928562057</v>
      </c>
      <c r="AH23" s="70">
        <f>_xlfn.XLOOKUP(Baukon_neu[[#This Row],[LCA Datensatz]],LeitRess_Materialien[Material_UUID],LeitRess_Materialien[RMI '[kg Primärrohstoffe / kg']])*Baukon_neu[[#This Row],[Masse '[kg/m²'] max]]</f>
        <v>16.042775978568617</v>
      </c>
      <c r="AI23" s="70">
        <f>_xlfn.XLOOKUP(Baukon_neu[[#This Row],[LCA Datensatz]],LeitRess_Materialien[Material_UUID],LeitRess_Materialien[TMR '[kg Gesamtmaterialaufwand/kg']])*Baukon_neu[[#This Row],[Masse '[kg/m²'] Referenz]]</f>
        <v>10.816018591847159</v>
      </c>
      <c r="AJ23" s="70">
        <f>_xlfn.XLOOKUP(Baukon_neu[[#This Row],[LCA Datensatz]],LeitRess_Materialien[Material_UUID],LeitRess_Materialien[TMR '[kg Gesamtmaterialaufwand/kg']])*Baukon_neu[[#This Row],[Masse '[kg/m²'] min]]</f>
        <v>6.4896111551082951</v>
      </c>
      <c r="AK23" s="70">
        <f>_xlfn.XLOOKUP(Baukon_neu[[#This Row],[LCA Datensatz]],LeitRess_Materialien[Material_UUID],LeitRess_Materialien[TMR '[kg Gesamtmaterialaufwand/kg']])*Baukon_neu[[#This Row],[Masse '[kg/m²'] max]]</f>
        <v>19.468833465324884</v>
      </c>
      <c r="AL23" s="70">
        <f>_xlfn.XLOOKUP(Baukon_neu[[#This Row],[LCA Datensatz]],LeitRess_Materialien[Material_UUID],LeitRess_Materialien[GWP '[kg CO2-Äqu./kg']])*Baukon_neu[[#This Row],[Masse '[kg/m²'] Referenz]]</f>
        <v>4.5779675938252673</v>
      </c>
      <c r="AM23" s="70">
        <f>_xlfn.XLOOKUP(Baukon_neu[[#This Row],[LCA Datensatz]],LeitRess_Materialien[Material_UUID],LeitRess_Materialien[GWP '[kg CO2-Äqu./kg']])*Baukon_neu[[#This Row],[Masse '[kg/m²'] min]]</f>
        <v>2.7467805562951599</v>
      </c>
      <c r="AN23" s="70">
        <f>_xlfn.XLOOKUP(Baukon_neu[[#This Row],[LCA Datensatz]],LeitRess_Materialien[Material_UUID],LeitRess_Materialien[GWP '[kg CO2-Äqu./kg']])*Baukon_neu[[#This Row],[Masse '[kg/m²'] max]]</f>
        <v>8.2403416688854794</v>
      </c>
      <c r="AO23" s="70">
        <f>_xlfn.XLOOKUP(Baukon_neu[[#This Row],[LCA Datensatz]],LeitRess_Materialien[Material_UUID],LeitRess_Materialien[PENRT '[MJ/kg']])*Baukon_neu[[#This Row],[Masse '[kg/m²'] Referenz]]</f>
        <v>98.394467641187106</v>
      </c>
      <c r="AP23" s="70">
        <f>_xlfn.XLOOKUP(Baukon_neu[[#This Row],[LCA Datensatz]],LeitRess_Materialien[Material_UUID],LeitRess_Materialien[PENRT '[MJ/kg']])*Baukon_neu[[#This Row],[Masse '[kg/m²'] min]]</f>
        <v>59.036680584712258</v>
      </c>
      <c r="AQ23" s="70">
        <f>_xlfn.XLOOKUP(Baukon_neu[[#This Row],[LCA Datensatz]],LeitRess_Materialien[Material_UUID],LeitRess_Materialien[PENRT '[MJ/kg']])*Baukon_neu[[#This Row],[Masse '[kg/m²'] max]]</f>
        <v>177.11004175413677</v>
      </c>
      <c r="AR23" s="70" t="e">
        <f>_xlfn.XLOOKUP(Baukon_neu[[#This Row],[LCA Datensatz]],LeitRess_Materialien[Material_UUID],#REF!)*Baukon_neu[[#This Row],[Masse '[kg/m²'] Referenz]]</f>
        <v>#REF!</v>
      </c>
      <c r="AS23" s="70" t="e">
        <f>_xlfn.XLOOKUP(Baukon_neu[[#This Row],[LCA Datensatz]],LeitRess_Materialien[Material_UUID],#REF!)*Baukon_neu[[#This Row],[Masse '[kg/m²'] min]]</f>
        <v>#REF!</v>
      </c>
      <c r="AT23" s="70" t="e">
        <f>_xlfn.XLOOKUP(Baukon_neu[[#This Row],[LCA Datensatz]],LeitRess_Materialien[Material_UUID],#REF!)*Baukon_neu[[#This Row],[Masse '[kg/m²'] max]]</f>
        <v>#REF!</v>
      </c>
      <c r="AU23" s="70">
        <f>_xlfn.XLOOKUP(Baukon_neu[[#This Row],[LCA Datensatz]],LeitRess_Materialien[Material_UUID],LeitRess_Materialien[WDP '[m³ weighted water/kg']])*Baukon_neu[[#This Row],[Masse '[kg/m²'] Referenz]]</f>
        <v>5.012082005968213</v>
      </c>
      <c r="AV23" s="70">
        <f>_xlfn.XLOOKUP(Baukon_neu[[#This Row],[LCA Datensatz]],LeitRess_Materialien[Material_UUID],LeitRess_Materialien[WDP '[m³ weighted water/kg']])*Baukon_neu[[#This Row],[Masse '[kg/m²'] min]]</f>
        <v>3.007249203580928</v>
      </c>
      <c r="AW23" s="70">
        <f>_xlfn.XLOOKUP(Baukon_neu[[#This Row],[LCA Datensatz]],LeitRess_Materialien[Material_UUID],LeitRess_Materialien[WDP '[m³ weighted water/kg']])*Baukon_neu[[#This Row],[Masse '[kg/m²'] max]]</f>
        <v>9.0217476107427839</v>
      </c>
      <c r="AX23" s="78">
        <f>Baukon_neu[[#This Row],[GWP '[kg CO2-Äqu./m²'] Referenz]]/'Ausgabe Tabellen'!$C$21+Baukon_neu[[#This Row],[PENRT '[MJ/m²'] Referenz]]/'Ausgabe Tabellen'!$C$22+Baukon_neu[[#This Row],[RMI '[kg Primärrohstoffe/m²'] Referenz]]/'Ausgabe Tabellen'!$C$23+Baukon_neu[[#This Row],[WDP '[m² weighted water/m²'] Referenz]]/'Ausgabe Tabellen'!$C$24</f>
        <v>1.8062242068618824E-3</v>
      </c>
      <c r="AY23" s="78">
        <f>Baukon_neu[[#This Row],[GWP '[kg CO2-Äqu./m²'] min]]/'Ausgabe Tabellen'!$C$21+Baukon_neu[[#This Row],[PENRT '[MJ/m²'] min]]/'Ausgabe Tabellen'!$C$22+Baukon_neu[[#This Row],[RMI '[kg Primärrohstoffe/m²'] min]]/'Ausgabe Tabellen'!$C$23+Baukon_neu[[#This Row],[WDP '[m² weighted water/m²'] min]]/'Ausgabe Tabellen'!$C$24</f>
        <v>1.0837345241171293E-3</v>
      </c>
      <c r="AZ23" s="78">
        <f>Baukon_neu[[#This Row],[GWP '[kg CO2-Äqu./m²'] max]]/'Ausgabe Tabellen'!$C$21+Baukon_neu[[#This Row],[PENRT '[MJ/m²'] max]]/'Ausgabe Tabellen'!$C$22+Baukon_neu[[#This Row],[RMI '[kg Primärrohstoffe/m²'] max]]/'Ausgabe Tabellen'!$C$23+Baukon_neu[[#This Row],[WDP '[m² weighted water/m²'] max]]/'Ausgabe Tabellen'!$C$24</f>
        <v>3.2512035723513879E-3</v>
      </c>
    </row>
    <row r="24" spans="1:52" x14ac:dyDescent="0.65">
      <c r="A24" s="73" t="s">
        <v>87</v>
      </c>
      <c r="B24" s="74" t="s">
        <v>222</v>
      </c>
      <c r="C24" s="74">
        <v>2</v>
      </c>
      <c r="D24" s="74" t="s">
        <v>230</v>
      </c>
      <c r="E24" s="68" t="str">
        <f>Baukon_neu[[#This Row],[Variante Nummer]]&amp;". "&amp;Baukon_neu[[#This Row],[Name Baukonstruktion]]&amp;" | " &amp;Baukon_neu[[#This Row],[Variante Name]]</f>
        <v>2. Außenwand Beton | R-Beton</v>
      </c>
      <c r="F24" s="128" t="str">
        <f>IF(IFERROR(_xlfn.XLOOKUP(Baukon_neu[[#This Row],[ID Baukonstruktion]],Baukon_alle_A1_A3_results[ID Baukonstruktion],Baukon_alle_A1_A3_results[ID Baukonstruktion]),"okay")="okay", "okay","Achtung, id wird bereits verwendet")</f>
        <v>Achtung, id wird bereits verwendet</v>
      </c>
      <c r="G24" s="75"/>
      <c r="H24" s="73" t="s">
        <v>229</v>
      </c>
      <c r="I24" s="73" t="s">
        <v>225</v>
      </c>
      <c r="J24" s="74"/>
      <c r="K24" s="68">
        <f>IF(Baukon_neu[[#This Row],[ist Dämmstoff?]]="ja",Baukon_neu[[#This Row],[Dicke '[mm'] Referenz]]+_xlfn.XLOOKUP(RIGHT(Baukon_neu[[#Headers],[Dicke '[mm'] min]],3),Dämmstoffvarianten[Variante],Dämmstoffvarianten[Differenz Dämmstoffedicke zu Referenz '[mm']]),Baukon_neu[[#This Row],[Dicke '[mm'] Referenz]])</f>
        <v>0</v>
      </c>
      <c r="L24" s="68">
        <f>IF(Baukon_neu[[#This Row],[ist Dämmstoff?]]="ja",Baukon_neu[[#This Row],[Dicke '[mm'] Referenz]]+_xlfn.XLOOKUP(RIGHT(Baukon_neu[[#Headers],[Dicke '[mm'] max]],3),Dämmstoffvarianten[Variante],Dämmstoffvarianten[Differenz Dämmstoffedicke zu Referenz '[mm']]),Baukon_neu[[#This Row],[Dicke '[mm'] Referenz]])</f>
        <v>0</v>
      </c>
      <c r="M24" s="76">
        <v>1</v>
      </c>
      <c r="N24" s="75"/>
      <c r="O24" s="69">
        <f>IFERROR(Baukon_neu[[#This Row],[Dicke '[mm'] Referenz]]/1000*Baukon_neu[[#This Row],[Flächenanteil '[%']]],"")</f>
        <v>0</v>
      </c>
      <c r="P24" s="69">
        <f>IFERROR(Baukon_neu[[#This Row],[Dicke '[mm'] min]]/1000*Baukon_neu[[#This Row],[Flächenanteil '[%']]],"")</f>
        <v>0</v>
      </c>
      <c r="Q24" s="69">
        <f>IFERROR(Baukon_neu[[#This Row],[Dicke '[mm'] max]]/1000*Baukon_neu[[#This Row],[Flächenanteil '[%']]],"")</f>
        <v>0</v>
      </c>
      <c r="R24" s="77" t="s">
        <v>226</v>
      </c>
      <c r="S24" s="69" t="str">
        <f>IFERROR(_xlfn.XLOOKUP(Baukon_neu[[#This Row],[Produkt]],LeitRess_Materialien[Name],LeitRess_Materialien[Material_UUID]),"")</f>
        <v>e9ae96ee-ba8d-420d-9725-7c8abd06e082</v>
      </c>
      <c r="T24" s="69">
        <f>IF(OR(Baukon_neu[[#This Row],[Rohdichte '[kg/m³'], Eingabe ]]="", Baukon_neu[[#This Row],[Rohdichte '[kg/m³'], Eingabe ]]="0"),_xlfn.XLOOKUP(Baukon_neu[[#This Row],[LCA Datensatz]],LeitRess_Materialien[Material_UUID],LeitRess_Materialien[Rohdichte_'[kg/m3']]),Baukon_neu[[#This Row],[Rohdichte '[kg/m³'], Eingabe ]])</f>
        <v>7850</v>
      </c>
      <c r="U24" s="69">
        <f>IF(OR(Baukon_neu[[#This Row],[Flächengewicht '[kg/m²'], Eingabe ]]="", Baukon_neu[[#This Row],[Flächengewicht '[kg/m²'], Eingabe ]]="0"),_xlfn.XLOOKUP(Baukon_neu[[#This Row],[LCA Datensatz]],LeitRess_Materialien[Material_UUID],LeitRess_Materialien[Flächengewicht_'[kg/m2']]),Baukon_neu[[#This Row],[Flächengewicht '[kg/m²'], Eingabe ]])</f>
        <v>30</v>
      </c>
      <c r="V24" s="69">
        <f>IF(OR(Baukon_neu[[#This Row],[Längengewicht '[kg/m'], Eingabe ]]="", Baukon_neu[[#This Row],[Längengewicht '[kg/m'], Eingabe ]]="0"),_xlfn.XLOOKUP(Baukon_neu[[#This Row],[LCA Datensatz]],LeitRess_Materialien[Material_UUID],LeitRess_Materialien[Längengewicht_'[kg/m']]),Baukon_neu[[#This Row],[Längengewicht '[kg/m'], Eingabe ]])</f>
        <v>0</v>
      </c>
      <c r="W24" s="69">
        <f>IF(OR(Baukon_neu[[#This Row],[lambda_'[W/mK'], Eingabe ]]="", Baukon_neu[[#This Row],[lambda_'[W/mK'], Eingabe ]]="0"),_xlfn.XLOOKUP(Baukon_neu[[#This Row],[LCA Datensatz]],LeitRess_Materialien[Material_UUID],LeitRess_Materialien[lambda_'[W/mK']]),Baukon_neu[[#This Row],[lambda_'[W/mK'], Eingabe ]])</f>
        <v>50</v>
      </c>
      <c r="X24" s="75"/>
      <c r="Y24" s="75">
        <v>30</v>
      </c>
      <c r="Z24" s="75"/>
      <c r="AA24" s="75"/>
      <c r="AB24" s="69">
        <f>IFERROR(
    IF(Baukon_neu[[#This Row],[Länge '[m/m²']]]*Baukon_neu[[#This Row],[Längengewicht '[kg/m']]]&lt;&gt;0, Baukon_neu[[#This Row],[Länge '[m/m²']]]*Baukon_neu[[#This Row],[Längengewicht '[kg/m']]],
       IF( Baukon_neu[[#This Row],[Volumen '[m³/m²'] Referenz]]*Baukon_neu[[#This Row],[Rohdichte '[kg/m³']]]&lt;&gt;0,
        Baukon_neu[[#This Row],[Volumen '[m³/m²'] Referenz]]*Baukon_neu[[#This Row],[Rohdichte '[kg/m³']]],
                Baukon_neu[[#This Row],[Flächenanteil '[%']]]*Baukon_neu[[#This Row],[Flächengewicht '[kg/m²']]])),"")</f>
        <v>30</v>
      </c>
      <c r="AC24" s="69">
        <f>IFERROR(
    IF(Baukon_neu[[#This Row],[Länge '[m/m²']]]*Baukon_neu[[#This Row],[Längengewicht '[kg/m']]]&lt;&gt;0, Baukon_neu[[#This Row],[Länge '[m/m²']]]*Baukon_neu[[#This Row],[Längengewicht '[kg/m']]],
       IF( Baukon_neu[[#This Row],[Volumen '[m³/m²'] min]]*Baukon_neu[[#This Row],[Rohdichte '[kg/m³']]]&lt;&gt;0,
        Baukon_neu[[#This Row],[Volumen '[m³/m²'] min]]*Baukon_neu[[#This Row],[Rohdichte '[kg/m³']]],
                Baukon_neu[[#This Row],[Flächenanteil '[%']]]*Baukon_neu[[#This Row],[Flächengewicht '[kg/m²']]])),"")</f>
        <v>30</v>
      </c>
      <c r="AD24" s="69">
        <f>IFERROR(
    IF(Baukon_neu[[#This Row],[Länge '[m/m²']]]*Baukon_neu[[#This Row],[Längengewicht '[kg/m']]]&lt;&gt;0, Baukon_neu[[#This Row],[Länge '[m/m²']]]*Baukon_neu[[#This Row],[Längengewicht '[kg/m']]],
       IF( Baukon_neu[[#This Row],[Volumen '[m³/m²'] max]]*Baukon_neu[[#This Row],[Rohdichte '[kg/m³']]]&lt;&gt;0,
        Baukon_neu[[#This Row],[Volumen '[m³/m²'] max]]*Baukon_neu[[#This Row],[Rohdichte '[kg/m³']]],
                Baukon_neu[[#This Row],[Flächenanteil '[%']]]*Baukon_neu[[#This Row],[Flächengewicht '[kg/m²']]])),"")</f>
        <v>30</v>
      </c>
      <c r="AE24" s="69">
        <f>IFERROR(Baukon_neu[[#This Row],[Dicke '[mm'] Referenz]]/Baukon_neu[[#This Row],[lambda_'[W/mK']]],"")</f>
        <v>0</v>
      </c>
      <c r="AF24" s="70">
        <f>_xlfn.XLOOKUP(Baukon_neu[[#This Row],[LCA Datensatz]],LeitRess_Materialien[Material_UUID],LeitRess_Materialien[RMI '[kg Primärrohstoffe / kg']])*Baukon_neu[[#This Row],[Masse '[kg/m²'] Referenz]]</f>
        <v>156.9172507207326</v>
      </c>
      <c r="AG24" s="70">
        <f>_xlfn.XLOOKUP(Baukon_neu[[#This Row],[LCA Datensatz]],LeitRess_Materialien[Material_UUID],LeitRess_Materialien[RMI '[kg Primärrohstoffe / kg']])*Baukon_neu[[#This Row],[Masse '[kg/m²'] min]]</f>
        <v>156.9172507207326</v>
      </c>
      <c r="AH24" s="70">
        <f>_xlfn.XLOOKUP(Baukon_neu[[#This Row],[LCA Datensatz]],LeitRess_Materialien[Material_UUID],LeitRess_Materialien[RMI '[kg Primärrohstoffe / kg']])*Baukon_neu[[#This Row],[Masse '[kg/m²'] max]]</f>
        <v>156.9172507207326</v>
      </c>
      <c r="AI24" s="70">
        <f>_xlfn.XLOOKUP(Baukon_neu[[#This Row],[LCA Datensatz]],LeitRess_Materialien[Material_UUID],LeitRess_Materialien[TMR '[kg Gesamtmaterialaufwand/kg']])*Baukon_neu[[#This Row],[Masse '[kg/m²'] Referenz]]</f>
        <v>247.65458355884402</v>
      </c>
      <c r="AJ24" s="70">
        <f>_xlfn.XLOOKUP(Baukon_neu[[#This Row],[LCA Datensatz]],LeitRess_Materialien[Material_UUID],LeitRess_Materialien[TMR '[kg Gesamtmaterialaufwand/kg']])*Baukon_neu[[#This Row],[Masse '[kg/m²'] min]]</f>
        <v>247.65458355884402</v>
      </c>
      <c r="AK24" s="70">
        <f>_xlfn.XLOOKUP(Baukon_neu[[#This Row],[LCA Datensatz]],LeitRess_Materialien[Material_UUID],LeitRess_Materialien[TMR '[kg Gesamtmaterialaufwand/kg']])*Baukon_neu[[#This Row],[Masse '[kg/m²'] max]]</f>
        <v>247.65458355884402</v>
      </c>
      <c r="AL24" s="70">
        <f>_xlfn.XLOOKUP(Baukon_neu[[#This Row],[LCA Datensatz]],LeitRess_Materialien[Material_UUID],LeitRess_Materialien[GWP '[kg CO2-Äqu./kg']])*Baukon_neu[[#This Row],[Masse '[kg/m²'] Referenz]]</f>
        <v>65.011005572263201</v>
      </c>
      <c r="AM24" s="70">
        <f>_xlfn.XLOOKUP(Baukon_neu[[#This Row],[LCA Datensatz]],LeitRess_Materialien[Material_UUID],LeitRess_Materialien[GWP '[kg CO2-Äqu./kg']])*Baukon_neu[[#This Row],[Masse '[kg/m²'] min]]</f>
        <v>65.011005572263201</v>
      </c>
      <c r="AN24" s="70">
        <f>_xlfn.XLOOKUP(Baukon_neu[[#This Row],[LCA Datensatz]],LeitRess_Materialien[Material_UUID],LeitRess_Materialien[GWP '[kg CO2-Äqu./kg']])*Baukon_neu[[#This Row],[Masse '[kg/m²'] max]]</f>
        <v>65.011005572263201</v>
      </c>
      <c r="AO24" s="70">
        <f>_xlfn.XLOOKUP(Baukon_neu[[#This Row],[LCA Datensatz]],LeitRess_Materialien[Material_UUID],LeitRess_Materialien[PENRT '[MJ/kg']])*Baukon_neu[[#This Row],[Masse '[kg/m²'] Referenz]]</f>
        <v>916.78439140811997</v>
      </c>
      <c r="AP24" s="70">
        <f>_xlfn.XLOOKUP(Baukon_neu[[#This Row],[LCA Datensatz]],LeitRess_Materialien[Material_UUID],LeitRess_Materialien[PENRT '[MJ/kg']])*Baukon_neu[[#This Row],[Masse '[kg/m²'] min]]</f>
        <v>916.78439140811997</v>
      </c>
      <c r="AQ24" s="70">
        <f>_xlfn.XLOOKUP(Baukon_neu[[#This Row],[LCA Datensatz]],LeitRess_Materialien[Material_UUID],LeitRess_Materialien[PENRT '[MJ/kg']])*Baukon_neu[[#This Row],[Masse '[kg/m²'] max]]</f>
        <v>916.78439140811997</v>
      </c>
      <c r="AR24" s="70" t="e">
        <f>_xlfn.XLOOKUP(Baukon_neu[[#This Row],[LCA Datensatz]],LeitRess_Materialien[Material_UUID],#REF!)*Baukon_neu[[#This Row],[Masse '[kg/m²'] Referenz]]</f>
        <v>#REF!</v>
      </c>
      <c r="AS24" s="70" t="e">
        <f>_xlfn.XLOOKUP(Baukon_neu[[#This Row],[LCA Datensatz]],LeitRess_Materialien[Material_UUID],#REF!)*Baukon_neu[[#This Row],[Masse '[kg/m²'] min]]</f>
        <v>#REF!</v>
      </c>
      <c r="AT24" s="70" t="e">
        <f>_xlfn.XLOOKUP(Baukon_neu[[#This Row],[LCA Datensatz]],LeitRess_Materialien[Material_UUID],#REF!)*Baukon_neu[[#This Row],[Masse '[kg/m²'] max]]</f>
        <v>#REF!</v>
      </c>
      <c r="AU24" s="70">
        <f>_xlfn.XLOOKUP(Baukon_neu[[#This Row],[LCA Datensatz]],LeitRess_Materialien[Material_UUID],LeitRess_Materialien[WDP '[m³ weighted water/kg']])*Baukon_neu[[#This Row],[Masse '[kg/m²'] Referenz]]</f>
        <v>27.420244131722967</v>
      </c>
      <c r="AV24" s="70">
        <f>_xlfn.XLOOKUP(Baukon_neu[[#This Row],[LCA Datensatz]],LeitRess_Materialien[Material_UUID],LeitRess_Materialien[WDP '[m³ weighted water/kg']])*Baukon_neu[[#This Row],[Masse '[kg/m²'] min]]</f>
        <v>27.420244131722967</v>
      </c>
      <c r="AW24" s="70">
        <f>_xlfn.XLOOKUP(Baukon_neu[[#This Row],[LCA Datensatz]],LeitRess_Materialien[Material_UUID],LeitRess_Materialien[WDP '[m³ weighted water/kg']])*Baukon_neu[[#This Row],[Masse '[kg/m²'] max]]</f>
        <v>27.420244131722967</v>
      </c>
      <c r="AX24" s="78">
        <f>Baukon_neu[[#This Row],[GWP '[kg CO2-Äqu./m²'] Referenz]]/'Ausgabe Tabellen'!$C$21+Baukon_neu[[#This Row],[PENRT '[MJ/m²'] Referenz]]/'Ausgabe Tabellen'!$C$22+Baukon_neu[[#This Row],[RMI '[kg Primärrohstoffe/m²'] Referenz]]/'Ausgabe Tabellen'!$C$23+Baukon_neu[[#This Row],[WDP '[m² weighted water/m²'] Referenz]]/'Ausgabe Tabellen'!$C$24</f>
        <v>1.9179550258186965E-2</v>
      </c>
      <c r="AY24" s="78">
        <f>Baukon_neu[[#This Row],[GWP '[kg CO2-Äqu./m²'] min]]/'Ausgabe Tabellen'!$C$21+Baukon_neu[[#This Row],[PENRT '[MJ/m²'] min]]/'Ausgabe Tabellen'!$C$22+Baukon_neu[[#This Row],[RMI '[kg Primärrohstoffe/m²'] min]]/'Ausgabe Tabellen'!$C$23+Baukon_neu[[#This Row],[WDP '[m² weighted water/m²'] min]]/'Ausgabe Tabellen'!$C$24</f>
        <v>1.9179550258186965E-2</v>
      </c>
      <c r="AZ24" s="78">
        <f>Baukon_neu[[#This Row],[GWP '[kg CO2-Äqu./m²'] max]]/'Ausgabe Tabellen'!$C$21+Baukon_neu[[#This Row],[PENRT '[MJ/m²'] max]]/'Ausgabe Tabellen'!$C$22+Baukon_neu[[#This Row],[RMI '[kg Primärrohstoffe/m²'] max]]/'Ausgabe Tabellen'!$C$23+Baukon_neu[[#This Row],[WDP '[m² weighted water/m²'] max]]/'Ausgabe Tabellen'!$C$24</f>
        <v>1.9179550258186965E-2</v>
      </c>
    </row>
    <row r="25" spans="1:52" x14ac:dyDescent="0.65">
      <c r="A25" s="73" t="s">
        <v>120</v>
      </c>
      <c r="B25" s="74" t="s">
        <v>232</v>
      </c>
      <c r="C25" s="74">
        <v>1</v>
      </c>
      <c r="D25" s="74" t="s">
        <v>233</v>
      </c>
      <c r="E25" s="68" t="str">
        <f>Baukon_neu[[#This Row],[Variante Nummer]]&amp;". "&amp;Baukon_neu[[#This Row],[Name Baukonstruktion]]&amp;" | " &amp;Baukon_neu[[#This Row],[Variante Name]]</f>
        <v>1. Heizung | Neu</v>
      </c>
      <c r="F25" s="128" t="str">
        <f>IF(IFERROR(_xlfn.XLOOKUP(Baukon_neu[[#This Row],[ID Baukonstruktion]],Baukon_alle_A1_A3_results[ID Baukonstruktion],Baukon_alle_A1_A3_results[ID Baukonstruktion]),"okay")="okay", "okay","Achtung, id wird bereits verwendet")</f>
        <v>Achtung, id wird bereits verwendet</v>
      </c>
      <c r="G25" s="75"/>
      <c r="H25" s="73" t="s">
        <v>234</v>
      </c>
      <c r="I25" s="73" t="s">
        <v>225</v>
      </c>
      <c r="J25" s="74"/>
      <c r="K25" s="68">
        <f>IF(Baukon_neu[[#This Row],[ist Dämmstoff?]]="ja",Baukon_neu[[#This Row],[Dicke '[mm'] Referenz]]+_xlfn.XLOOKUP(RIGHT(Baukon_neu[[#Headers],[Dicke '[mm'] min]],3),Dämmstoffvarianten[Variante],Dämmstoffvarianten[Differenz Dämmstoffedicke zu Referenz '[mm']]),Baukon_neu[[#This Row],[Dicke '[mm'] Referenz]])</f>
        <v>0</v>
      </c>
      <c r="L25" s="68">
        <f>IF(Baukon_neu[[#This Row],[ist Dämmstoff?]]="ja",Baukon_neu[[#This Row],[Dicke '[mm'] Referenz]]+_xlfn.XLOOKUP(RIGHT(Baukon_neu[[#Headers],[Dicke '[mm'] max]],3),Dämmstoffvarianten[Variante],Dämmstoffvarianten[Differenz Dämmstoffedicke zu Referenz '[mm']]),Baukon_neu[[#This Row],[Dicke '[mm'] Referenz]])</f>
        <v>0</v>
      </c>
      <c r="M25" s="76">
        <v>1</v>
      </c>
      <c r="N25" s="75">
        <v>1</v>
      </c>
      <c r="O25" s="69">
        <f>IFERROR(Baukon_neu[[#This Row],[Dicke '[mm'] Referenz]]/1000*Baukon_neu[[#This Row],[Flächenanteil '[%']]],"")</f>
        <v>0</v>
      </c>
      <c r="P25" s="69">
        <f>IFERROR(Baukon_neu[[#This Row],[Dicke '[mm'] min]]/1000*Baukon_neu[[#This Row],[Flächenanteil '[%']]],"")</f>
        <v>0</v>
      </c>
      <c r="Q25" s="69">
        <f>IFERROR(Baukon_neu[[#This Row],[Dicke '[mm'] max]]/1000*Baukon_neu[[#This Row],[Flächenanteil '[%']]],"")</f>
        <v>0</v>
      </c>
      <c r="R25" s="77" t="s">
        <v>226</v>
      </c>
      <c r="S25" s="69" t="str">
        <f>IFERROR(_xlfn.XLOOKUP(Baukon_neu[[#This Row],[Produkt]],LeitRess_Materialien[Name],LeitRess_Materialien[Material_UUID]),"")</f>
        <v>4005b170-75e3-411e-9896-74c61ecccd2a</v>
      </c>
      <c r="T25" s="69">
        <f>IF(OR(Baukon_neu[[#This Row],[Rohdichte '[kg/m³'], Eingabe ]]="", Baukon_neu[[#This Row],[Rohdichte '[kg/m³'], Eingabe ]]="0"),_xlfn.XLOOKUP(Baukon_neu[[#This Row],[LCA Datensatz]],LeitRess_Materialien[Material_UUID],LeitRess_Materialien[Rohdichte_'[kg/m3']]),Baukon_neu[[#This Row],[Rohdichte '[kg/m³'], Eingabe ]])</f>
        <v>0</v>
      </c>
      <c r="U25" s="69">
        <f>IF(OR(Baukon_neu[[#This Row],[Flächengewicht '[kg/m²'], Eingabe ]]="", Baukon_neu[[#This Row],[Flächengewicht '[kg/m²'], Eingabe ]]="0"),_xlfn.XLOOKUP(Baukon_neu[[#This Row],[LCA Datensatz]],LeitRess_Materialien[Material_UUID],LeitRess_Materialien[Flächengewicht_'[kg/m2']]),Baukon_neu[[#This Row],[Flächengewicht '[kg/m²'], Eingabe ]])</f>
        <v>0</v>
      </c>
      <c r="V25" s="69">
        <f>IF(OR(Baukon_neu[[#This Row],[Längengewicht '[kg/m'], Eingabe ]]="", Baukon_neu[[#This Row],[Längengewicht '[kg/m'], Eingabe ]]="0"),_xlfn.XLOOKUP(Baukon_neu[[#This Row],[LCA Datensatz]],LeitRess_Materialien[Material_UUID],LeitRess_Materialien[Längengewicht_'[kg/m']]),Baukon_neu[[#This Row],[Längengewicht '[kg/m'], Eingabe ]])</f>
        <v>37.5</v>
      </c>
      <c r="W25" s="69">
        <f>IF(OR(Baukon_neu[[#This Row],[lambda_'[W/mK'], Eingabe ]]="", Baukon_neu[[#This Row],[lambda_'[W/mK'], Eingabe ]]="0"),_xlfn.XLOOKUP(Baukon_neu[[#This Row],[LCA Datensatz]],LeitRess_Materialien[Material_UUID],LeitRess_Materialien[lambda_'[W/mK']]),Baukon_neu[[#This Row],[lambda_'[W/mK'], Eingabe ]])</f>
        <v>0</v>
      </c>
      <c r="X25" s="75"/>
      <c r="Y25" s="75"/>
      <c r="Z25" s="75"/>
      <c r="AA25" s="75"/>
      <c r="AB25" s="69">
        <f>IFERROR(
    IF(Baukon_neu[[#This Row],[Länge '[m/m²']]]*Baukon_neu[[#This Row],[Längengewicht '[kg/m']]]&lt;&gt;0, Baukon_neu[[#This Row],[Länge '[m/m²']]]*Baukon_neu[[#This Row],[Längengewicht '[kg/m']]],
       IF( Baukon_neu[[#This Row],[Volumen '[m³/m²'] Referenz]]*Baukon_neu[[#This Row],[Rohdichte '[kg/m³']]]&lt;&gt;0,
        Baukon_neu[[#This Row],[Volumen '[m³/m²'] Referenz]]*Baukon_neu[[#This Row],[Rohdichte '[kg/m³']]],
                Baukon_neu[[#This Row],[Flächenanteil '[%']]]*Baukon_neu[[#This Row],[Flächengewicht '[kg/m²']]])),"")</f>
        <v>37.5</v>
      </c>
      <c r="AC25" s="69">
        <f>IFERROR(
    IF(Baukon_neu[[#This Row],[Länge '[m/m²']]]*Baukon_neu[[#This Row],[Längengewicht '[kg/m']]]&lt;&gt;0, Baukon_neu[[#This Row],[Länge '[m/m²']]]*Baukon_neu[[#This Row],[Längengewicht '[kg/m']]],
       IF( Baukon_neu[[#This Row],[Volumen '[m³/m²'] min]]*Baukon_neu[[#This Row],[Rohdichte '[kg/m³']]]&lt;&gt;0,
        Baukon_neu[[#This Row],[Volumen '[m³/m²'] min]]*Baukon_neu[[#This Row],[Rohdichte '[kg/m³']]],
                Baukon_neu[[#This Row],[Flächenanteil '[%']]]*Baukon_neu[[#This Row],[Flächengewicht '[kg/m²']]])),"")</f>
        <v>37.5</v>
      </c>
      <c r="AD25" s="69">
        <f>IFERROR(
    IF(Baukon_neu[[#This Row],[Länge '[m/m²']]]*Baukon_neu[[#This Row],[Längengewicht '[kg/m']]]&lt;&gt;0, Baukon_neu[[#This Row],[Länge '[m/m²']]]*Baukon_neu[[#This Row],[Längengewicht '[kg/m']]],
       IF( Baukon_neu[[#This Row],[Volumen '[m³/m²'] max]]*Baukon_neu[[#This Row],[Rohdichte '[kg/m³']]]&lt;&gt;0,
        Baukon_neu[[#This Row],[Volumen '[m³/m²'] max]]*Baukon_neu[[#This Row],[Rohdichte '[kg/m³']]],
                Baukon_neu[[#This Row],[Flächenanteil '[%']]]*Baukon_neu[[#This Row],[Flächengewicht '[kg/m²']]])),"")</f>
        <v>37.5</v>
      </c>
      <c r="AE25" s="69" t="str">
        <f>IFERROR(Baukon_neu[[#This Row],[Dicke '[mm'] Referenz]]/Baukon_neu[[#This Row],[lambda_'[W/mK']]],"")</f>
        <v/>
      </c>
      <c r="AF25" s="70">
        <f>_xlfn.XLOOKUP(Baukon_neu[[#This Row],[LCA Datensatz]],LeitRess_Materialien[Material_UUID],LeitRess_Materialien[RMI '[kg Primärrohstoffe / kg']])*Baukon_neu[[#This Row],[Masse '[kg/m²'] Referenz]]</f>
        <v>337.16441522880586</v>
      </c>
      <c r="AG25" s="70">
        <f>_xlfn.XLOOKUP(Baukon_neu[[#This Row],[LCA Datensatz]],LeitRess_Materialien[Material_UUID],LeitRess_Materialien[RMI '[kg Primärrohstoffe / kg']])*Baukon_neu[[#This Row],[Masse '[kg/m²'] min]]</f>
        <v>337.16441522880586</v>
      </c>
      <c r="AH25" s="70">
        <f>_xlfn.XLOOKUP(Baukon_neu[[#This Row],[LCA Datensatz]],LeitRess_Materialien[Material_UUID],LeitRess_Materialien[RMI '[kg Primärrohstoffe / kg']])*Baukon_neu[[#This Row],[Masse '[kg/m²'] max]]</f>
        <v>337.16441522880586</v>
      </c>
      <c r="AI25" s="70">
        <f>_xlfn.XLOOKUP(Baukon_neu[[#This Row],[LCA Datensatz]],LeitRess_Materialien[Material_UUID],LeitRess_Materialien[TMR '[kg Gesamtmaterialaufwand/kg']])*Baukon_neu[[#This Row],[Masse '[kg/m²'] Referenz]]</f>
        <v>0</v>
      </c>
      <c r="AJ25" s="70">
        <f>_xlfn.XLOOKUP(Baukon_neu[[#This Row],[LCA Datensatz]],LeitRess_Materialien[Material_UUID],LeitRess_Materialien[TMR '[kg Gesamtmaterialaufwand/kg']])*Baukon_neu[[#This Row],[Masse '[kg/m²'] min]]</f>
        <v>0</v>
      </c>
      <c r="AK25" s="70">
        <f>_xlfn.XLOOKUP(Baukon_neu[[#This Row],[LCA Datensatz]],LeitRess_Materialien[Material_UUID],LeitRess_Materialien[TMR '[kg Gesamtmaterialaufwand/kg']])*Baukon_neu[[#This Row],[Masse '[kg/m²'] max]]</f>
        <v>0</v>
      </c>
      <c r="AL25" s="70">
        <f>_xlfn.XLOOKUP(Baukon_neu[[#This Row],[LCA Datensatz]],LeitRess_Materialien[Material_UUID],LeitRess_Materialien[GWP '[kg CO2-Äqu./kg']])*Baukon_neu[[#This Row],[Masse '[kg/m²'] Referenz]]</f>
        <v>147.92889814445365</v>
      </c>
      <c r="AM25" s="70">
        <f>_xlfn.XLOOKUP(Baukon_neu[[#This Row],[LCA Datensatz]],LeitRess_Materialien[Material_UUID],LeitRess_Materialien[GWP '[kg CO2-Äqu./kg']])*Baukon_neu[[#This Row],[Masse '[kg/m²'] min]]</f>
        <v>147.92889814445365</v>
      </c>
      <c r="AN25" s="70">
        <f>_xlfn.XLOOKUP(Baukon_neu[[#This Row],[LCA Datensatz]],LeitRess_Materialien[Material_UUID],LeitRess_Materialien[GWP '[kg CO2-Äqu./kg']])*Baukon_neu[[#This Row],[Masse '[kg/m²'] max]]</f>
        <v>147.92889814445365</v>
      </c>
      <c r="AO25" s="70">
        <f>_xlfn.XLOOKUP(Baukon_neu[[#This Row],[LCA Datensatz]],LeitRess_Materialien[Material_UUID],LeitRess_Materialien[PENRT '[MJ/kg']])*Baukon_neu[[#This Row],[Masse '[kg/m²'] Referenz]]</f>
        <v>2268.8821976397385</v>
      </c>
      <c r="AP25" s="70">
        <f>_xlfn.XLOOKUP(Baukon_neu[[#This Row],[LCA Datensatz]],LeitRess_Materialien[Material_UUID],LeitRess_Materialien[PENRT '[MJ/kg']])*Baukon_neu[[#This Row],[Masse '[kg/m²'] min]]</f>
        <v>2268.8821976397385</v>
      </c>
      <c r="AQ25" s="70">
        <f>_xlfn.XLOOKUP(Baukon_neu[[#This Row],[LCA Datensatz]],LeitRess_Materialien[Material_UUID],LeitRess_Materialien[PENRT '[MJ/kg']])*Baukon_neu[[#This Row],[Masse '[kg/m²'] max]]</f>
        <v>2268.8821976397385</v>
      </c>
      <c r="AR25" s="70" t="e">
        <f>_xlfn.XLOOKUP(Baukon_neu[[#This Row],[LCA Datensatz]],LeitRess_Materialien[Material_UUID],#REF!)*Baukon_neu[[#This Row],[Masse '[kg/m²'] Referenz]]</f>
        <v>#REF!</v>
      </c>
      <c r="AS25" s="70" t="e">
        <f>_xlfn.XLOOKUP(Baukon_neu[[#This Row],[LCA Datensatz]],LeitRess_Materialien[Material_UUID],#REF!)*Baukon_neu[[#This Row],[Masse '[kg/m²'] min]]</f>
        <v>#REF!</v>
      </c>
      <c r="AT25" s="70" t="e">
        <f>_xlfn.XLOOKUP(Baukon_neu[[#This Row],[LCA Datensatz]],LeitRess_Materialien[Material_UUID],#REF!)*Baukon_neu[[#This Row],[Masse '[kg/m²'] max]]</f>
        <v>#REF!</v>
      </c>
      <c r="AU25" s="70">
        <f>_xlfn.XLOOKUP(Baukon_neu[[#This Row],[LCA Datensatz]],LeitRess_Materialien[Material_UUID],LeitRess_Materialien[WDP '[m³ weighted water/kg']])*Baukon_neu[[#This Row],[Masse '[kg/m²'] Referenz]]</f>
        <v>86.198059095900007</v>
      </c>
      <c r="AV25" s="70">
        <f>_xlfn.XLOOKUP(Baukon_neu[[#This Row],[LCA Datensatz]],LeitRess_Materialien[Material_UUID],LeitRess_Materialien[WDP '[m³ weighted water/kg']])*Baukon_neu[[#This Row],[Masse '[kg/m²'] min]]</f>
        <v>86.198059095900007</v>
      </c>
      <c r="AW25" s="70">
        <f>_xlfn.XLOOKUP(Baukon_neu[[#This Row],[LCA Datensatz]],LeitRess_Materialien[Material_UUID],LeitRess_Materialien[WDP '[m³ weighted water/kg']])*Baukon_neu[[#This Row],[Masse '[kg/m²'] max]]</f>
        <v>86.198059095900007</v>
      </c>
      <c r="AX25" s="78">
        <f>Baukon_neu[[#This Row],[GWP '[kg CO2-Äqu./m²'] Referenz]]/'Ausgabe Tabellen'!$C$21+Baukon_neu[[#This Row],[PENRT '[MJ/m²'] Referenz]]/'Ausgabe Tabellen'!$C$22+Baukon_neu[[#This Row],[RMI '[kg Primärrohstoffe/m²'] Referenz]]/'Ausgabe Tabellen'!$C$23+Baukon_neu[[#This Row],[WDP '[m² weighted water/m²'] Referenz]]/'Ausgabe Tabellen'!$C$24</f>
        <v>4.6508343456039054E-2</v>
      </c>
      <c r="AY25" s="78">
        <f>Baukon_neu[[#This Row],[GWP '[kg CO2-Äqu./m²'] min]]/'Ausgabe Tabellen'!$C$21+Baukon_neu[[#This Row],[PENRT '[MJ/m²'] min]]/'Ausgabe Tabellen'!$C$22+Baukon_neu[[#This Row],[RMI '[kg Primärrohstoffe/m²'] min]]/'Ausgabe Tabellen'!$C$23+Baukon_neu[[#This Row],[WDP '[m² weighted water/m²'] min]]/'Ausgabe Tabellen'!$C$24</f>
        <v>4.6508343456039054E-2</v>
      </c>
      <c r="AZ25" s="78">
        <f>Baukon_neu[[#This Row],[GWP '[kg CO2-Äqu./m²'] max]]/'Ausgabe Tabellen'!$C$21+Baukon_neu[[#This Row],[PENRT '[MJ/m²'] max]]/'Ausgabe Tabellen'!$C$22+Baukon_neu[[#This Row],[RMI '[kg Primärrohstoffe/m²'] max]]/'Ausgabe Tabellen'!$C$23+Baukon_neu[[#This Row],[WDP '[m² weighted water/m²'] max]]/'Ausgabe Tabellen'!$C$24</f>
        <v>4.6508343456039054E-2</v>
      </c>
    </row>
    <row r="26" spans="1:52" x14ac:dyDescent="0.65">
      <c r="A26" s="73" t="s">
        <v>120</v>
      </c>
      <c r="B26" s="74" t="s">
        <v>232</v>
      </c>
      <c r="C26" s="74">
        <v>2</v>
      </c>
      <c r="D26" s="74" t="s">
        <v>235</v>
      </c>
      <c r="E26" s="68" t="str">
        <f>Baukon_neu[[#This Row],[Variante Nummer]]&amp;". "&amp;Baukon_neu[[#This Row],[Name Baukonstruktion]]&amp;" | " &amp;Baukon_neu[[#This Row],[Variante Name]]</f>
        <v>2. Heizung | ReUse</v>
      </c>
      <c r="F26" s="128" t="str">
        <f>IF(IFERROR(_xlfn.XLOOKUP(Baukon_neu[[#This Row],[ID Baukonstruktion]],Baukon_alle_A1_A3_results[ID Baukonstruktion],Baukon_alle_A1_A3_results[ID Baukonstruktion]),"okay")="okay", "okay","Achtung, id wird bereits verwendet")</f>
        <v>Achtung, id wird bereits verwendet</v>
      </c>
      <c r="G26" s="75"/>
      <c r="H26" s="73" t="s">
        <v>236</v>
      </c>
      <c r="I26" s="73" t="s">
        <v>225</v>
      </c>
      <c r="J26" s="74"/>
      <c r="K26" s="68">
        <f>IF(Baukon_neu[[#This Row],[ist Dämmstoff?]]="ja",Baukon_neu[[#This Row],[Dicke '[mm'] Referenz]]+_xlfn.XLOOKUP(RIGHT(Baukon_neu[[#Headers],[Dicke '[mm'] min]],3),Dämmstoffvarianten[Variante],Dämmstoffvarianten[Differenz Dämmstoffedicke zu Referenz '[mm']]),Baukon_neu[[#This Row],[Dicke '[mm'] Referenz]])</f>
        <v>0</v>
      </c>
      <c r="L26" s="68">
        <f>IF(Baukon_neu[[#This Row],[ist Dämmstoff?]]="ja",Baukon_neu[[#This Row],[Dicke '[mm'] Referenz]]+_xlfn.XLOOKUP(RIGHT(Baukon_neu[[#Headers],[Dicke '[mm'] max]],3),Dämmstoffvarianten[Variante],Dämmstoffvarianten[Differenz Dämmstoffedicke zu Referenz '[mm']]),Baukon_neu[[#This Row],[Dicke '[mm'] Referenz]])</f>
        <v>0</v>
      </c>
      <c r="M26" s="76">
        <v>1</v>
      </c>
      <c r="N26" s="75">
        <v>1</v>
      </c>
      <c r="O26" s="69">
        <f>IFERROR(Baukon_neu[[#This Row],[Dicke '[mm'] Referenz]]/1000*Baukon_neu[[#This Row],[Flächenanteil '[%']]],"")</f>
        <v>0</v>
      </c>
      <c r="P26" s="69">
        <f>IFERROR(Baukon_neu[[#This Row],[Dicke '[mm'] min]]/1000*Baukon_neu[[#This Row],[Flächenanteil '[%']]],"")</f>
        <v>0</v>
      </c>
      <c r="Q26" s="69">
        <f>IFERROR(Baukon_neu[[#This Row],[Dicke '[mm'] max]]/1000*Baukon_neu[[#This Row],[Flächenanteil '[%']]],"")</f>
        <v>0</v>
      </c>
      <c r="R26" s="77" t="s">
        <v>226</v>
      </c>
      <c r="S26" s="69" t="str">
        <f>IFERROR(_xlfn.XLOOKUP(Baukon_neu[[#This Row],[Produkt]],LeitRess_Materialien[Name],LeitRess_Materialien[Material_UUID]),"")</f>
        <v>4005b170-75e3-411e-9896-74c61ecrcd2a</v>
      </c>
      <c r="T26" s="69">
        <f>IF(OR(Baukon_neu[[#This Row],[Rohdichte '[kg/m³'], Eingabe ]]="", Baukon_neu[[#This Row],[Rohdichte '[kg/m³'], Eingabe ]]="0"),_xlfn.XLOOKUP(Baukon_neu[[#This Row],[LCA Datensatz]],LeitRess_Materialien[Material_UUID],LeitRess_Materialien[Rohdichte_'[kg/m3']]),Baukon_neu[[#This Row],[Rohdichte '[kg/m³'], Eingabe ]])</f>
        <v>0</v>
      </c>
      <c r="U26" s="69">
        <f>IF(OR(Baukon_neu[[#This Row],[Flächengewicht '[kg/m²'], Eingabe ]]="", Baukon_neu[[#This Row],[Flächengewicht '[kg/m²'], Eingabe ]]="0"),_xlfn.XLOOKUP(Baukon_neu[[#This Row],[LCA Datensatz]],LeitRess_Materialien[Material_UUID],LeitRess_Materialien[Flächengewicht_'[kg/m2']]),Baukon_neu[[#This Row],[Flächengewicht '[kg/m²'], Eingabe ]])</f>
        <v>0</v>
      </c>
      <c r="V26" s="69">
        <f>IF(OR(Baukon_neu[[#This Row],[Längengewicht '[kg/m'], Eingabe ]]="", Baukon_neu[[#This Row],[Längengewicht '[kg/m'], Eingabe ]]="0"),_xlfn.XLOOKUP(Baukon_neu[[#This Row],[LCA Datensatz]],LeitRess_Materialien[Material_UUID],LeitRess_Materialien[Längengewicht_'[kg/m']]),Baukon_neu[[#This Row],[Längengewicht '[kg/m'], Eingabe ]])</f>
        <v>37.5</v>
      </c>
      <c r="W26" s="69">
        <f>IF(OR(Baukon_neu[[#This Row],[lambda_'[W/mK'], Eingabe ]]="", Baukon_neu[[#This Row],[lambda_'[W/mK'], Eingabe ]]="0"),_xlfn.XLOOKUP(Baukon_neu[[#This Row],[LCA Datensatz]],LeitRess_Materialien[Material_UUID],LeitRess_Materialien[lambda_'[W/mK']]),Baukon_neu[[#This Row],[lambda_'[W/mK'], Eingabe ]])</f>
        <v>0</v>
      </c>
      <c r="X26" s="75"/>
      <c r="Y26" s="75"/>
      <c r="Z26" s="75"/>
      <c r="AA26" s="75"/>
      <c r="AB26" s="69">
        <f>IFERROR(
    IF(Baukon_neu[[#This Row],[Länge '[m/m²']]]*Baukon_neu[[#This Row],[Längengewicht '[kg/m']]]&lt;&gt;0, Baukon_neu[[#This Row],[Länge '[m/m²']]]*Baukon_neu[[#This Row],[Längengewicht '[kg/m']]],
       IF( Baukon_neu[[#This Row],[Volumen '[m³/m²'] Referenz]]*Baukon_neu[[#This Row],[Rohdichte '[kg/m³']]]&lt;&gt;0,
        Baukon_neu[[#This Row],[Volumen '[m³/m²'] Referenz]]*Baukon_neu[[#This Row],[Rohdichte '[kg/m³']]],
                Baukon_neu[[#This Row],[Flächenanteil '[%']]]*Baukon_neu[[#This Row],[Flächengewicht '[kg/m²']]])),"")</f>
        <v>37.5</v>
      </c>
      <c r="AC26" s="69">
        <f>IFERROR(
    IF(Baukon_neu[[#This Row],[Länge '[m/m²']]]*Baukon_neu[[#This Row],[Längengewicht '[kg/m']]]&lt;&gt;0, Baukon_neu[[#This Row],[Länge '[m/m²']]]*Baukon_neu[[#This Row],[Längengewicht '[kg/m']]],
       IF( Baukon_neu[[#This Row],[Volumen '[m³/m²'] min]]*Baukon_neu[[#This Row],[Rohdichte '[kg/m³']]]&lt;&gt;0,
        Baukon_neu[[#This Row],[Volumen '[m³/m²'] min]]*Baukon_neu[[#This Row],[Rohdichte '[kg/m³']]],
                Baukon_neu[[#This Row],[Flächenanteil '[%']]]*Baukon_neu[[#This Row],[Flächengewicht '[kg/m²']]])),"")</f>
        <v>37.5</v>
      </c>
      <c r="AD26" s="69">
        <f>IFERROR(
    IF(Baukon_neu[[#This Row],[Länge '[m/m²']]]*Baukon_neu[[#This Row],[Längengewicht '[kg/m']]]&lt;&gt;0, Baukon_neu[[#This Row],[Länge '[m/m²']]]*Baukon_neu[[#This Row],[Längengewicht '[kg/m']]],
       IF( Baukon_neu[[#This Row],[Volumen '[m³/m²'] max]]*Baukon_neu[[#This Row],[Rohdichte '[kg/m³']]]&lt;&gt;0,
        Baukon_neu[[#This Row],[Volumen '[m³/m²'] max]]*Baukon_neu[[#This Row],[Rohdichte '[kg/m³']]],
                Baukon_neu[[#This Row],[Flächenanteil '[%']]]*Baukon_neu[[#This Row],[Flächengewicht '[kg/m²']]])),"")</f>
        <v>37.5</v>
      </c>
      <c r="AE26" s="69" t="str">
        <f>IFERROR(Baukon_neu[[#This Row],[Dicke '[mm'] Referenz]]/Baukon_neu[[#This Row],[lambda_'[W/mK']]],"")</f>
        <v/>
      </c>
      <c r="AF26" s="70">
        <f>_xlfn.XLOOKUP(Baukon_neu[[#This Row],[LCA Datensatz]],LeitRess_Materialien[Material_UUID],LeitRess_Materialien[RMI '[kg Primärrohstoffe / kg']])*Baukon_neu[[#This Row],[Masse '[kg/m²'] Referenz]]</f>
        <v>0</v>
      </c>
      <c r="AG26" s="70">
        <f>_xlfn.XLOOKUP(Baukon_neu[[#This Row],[LCA Datensatz]],LeitRess_Materialien[Material_UUID],LeitRess_Materialien[RMI '[kg Primärrohstoffe / kg']])*Baukon_neu[[#This Row],[Masse '[kg/m²'] min]]</f>
        <v>0</v>
      </c>
      <c r="AH26" s="70">
        <f>_xlfn.XLOOKUP(Baukon_neu[[#This Row],[LCA Datensatz]],LeitRess_Materialien[Material_UUID],LeitRess_Materialien[RMI '[kg Primärrohstoffe / kg']])*Baukon_neu[[#This Row],[Masse '[kg/m²'] max]]</f>
        <v>0</v>
      </c>
      <c r="AI26" s="70">
        <f>_xlfn.XLOOKUP(Baukon_neu[[#This Row],[LCA Datensatz]],LeitRess_Materialien[Material_UUID],LeitRess_Materialien[TMR '[kg Gesamtmaterialaufwand/kg']])*Baukon_neu[[#This Row],[Masse '[kg/m²'] Referenz]]</f>
        <v>0</v>
      </c>
      <c r="AJ26" s="70">
        <f>_xlfn.XLOOKUP(Baukon_neu[[#This Row],[LCA Datensatz]],LeitRess_Materialien[Material_UUID],LeitRess_Materialien[TMR '[kg Gesamtmaterialaufwand/kg']])*Baukon_neu[[#This Row],[Masse '[kg/m²'] min]]</f>
        <v>0</v>
      </c>
      <c r="AK26" s="70">
        <f>_xlfn.XLOOKUP(Baukon_neu[[#This Row],[LCA Datensatz]],LeitRess_Materialien[Material_UUID],LeitRess_Materialien[TMR '[kg Gesamtmaterialaufwand/kg']])*Baukon_neu[[#This Row],[Masse '[kg/m²'] max]]</f>
        <v>0</v>
      </c>
      <c r="AL26" s="70">
        <f>_xlfn.XLOOKUP(Baukon_neu[[#This Row],[LCA Datensatz]],LeitRess_Materialien[Material_UUID],LeitRess_Materialien[GWP '[kg CO2-Äqu./kg']])*Baukon_neu[[#This Row],[Masse '[kg/m²'] Referenz]]</f>
        <v>0</v>
      </c>
      <c r="AM26" s="70">
        <f>_xlfn.XLOOKUP(Baukon_neu[[#This Row],[LCA Datensatz]],LeitRess_Materialien[Material_UUID],LeitRess_Materialien[GWP '[kg CO2-Äqu./kg']])*Baukon_neu[[#This Row],[Masse '[kg/m²'] min]]</f>
        <v>0</v>
      </c>
      <c r="AN26" s="70">
        <f>_xlfn.XLOOKUP(Baukon_neu[[#This Row],[LCA Datensatz]],LeitRess_Materialien[Material_UUID],LeitRess_Materialien[GWP '[kg CO2-Äqu./kg']])*Baukon_neu[[#This Row],[Masse '[kg/m²'] max]]</f>
        <v>0</v>
      </c>
      <c r="AO26" s="70">
        <f>_xlfn.XLOOKUP(Baukon_neu[[#This Row],[LCA Datensatz]],LeitRess_Materialien[Material_UUID],LeitRess_Materialien[PENRT '[MJ/kg']])*Baukon_neu[[#This Row],[Masse '[kg/m²'] Referenz]]</f>
        <v>0</v>
      </c>
      <c r="AP26" s="70">
        <f>_xlfn.XLOOKUP(Baukon_neu[[#This Row],[LCA Datensatz]],LeitRess_Materialien[Material_UUID],LeitRess_Materialien[PENRT '[MJ/kg']])*Baukon_neu[[#This Row],[Masse '[kg/m²'] min]]</f>
        <v>0</v>
      </c>
      <c r="AQ26" s="70">
        <f>_xlfn.XLOOKUP(Baukon_neu[[#This Row],[LCA Datensatz]],LeitRess_Materialien[Material_UUID],LeitRess_Materialien[PENRT '[MJ/kg']])*Baukon_neu[[#This Row],[Masse '[kg/m²'] max]]</f>
        <v>0</v>
      </c>
      <c r="AR26" s="70" t="e">
        <f>_xlfn.XLOOKUP(Baukon_neu[[#This Row],[LCA Datensatz]],LeitRess_Materialien[Material_UUID],#REF!)*Baukon_neu[[#This Row],[Masse '[kg/m²'] Referenz]]</f>
        <v>#REF!</v>
      </c>
      <c r="AS26" s="70" t="e">
        <f>_xlfn.XLOOKUP(Baukon_neu[[#This Row],[LCA Datensatz]],LeitRess_Materialien[Material_UUID],#REF!)*Baukon_neu[[#This Row],[Masse '[kg/m²'] min]]</f>
        <v>#REF!</v>
      </c>
      <c r="AT26" s="70" t="e">
        <f>_xlfn.XLOOKUP(Baukon_neu[[#This Row],[LCA Datensatz]],LeitRess_Materialien[Material_UUID],#REF!)*Baukon_neu[[#This Row],[Masse '[kg/m²'] max]]</f>
        <v>#REF!</v>
      </c>
      <c r="AU26" s="70">
        <f>_xlfn.XLOOKUP(Baukon_neu[[#This Row],[LCA Datensatz]],LeitRess_Materialien[Material_UUID],LeitRess_Materialien[WDP '[m³ weighted water/kg']])*Baukon_neu[[#This Row],[Masse '[kg/m²'] Referenz]]</f>
        <v>0</v>
      </c>
      <c r="AV26" s="70">
        <f>_xlfn.XLOOKUP(Baukon_neu[[#This Row],[LCA Datensatz]],LeitRess_Materialien[Material_UUID],LeitRess_Materialien[WDP '[m³ weighted water/kg']])*Baukon_neu[[#This Row],[Masse '[kg/m²'] min]]</f>
        <v>0</v>
      </c>
      <c r="AW26" s="70">
        <f>_xlfn.XLOOKUP(Baukon_neu[[#This Row],[LCA Datensatz]],LeitRess_Materialien[Material_UUID],LeitRess_Materialien[WDP '[m³ weighted water/kg']])*Baukon_neu[[#This Row],[Masse '[kg/m²'] max]]</f>
        <v>0</v>
      </c>
      <c r="AX26" s="78">
        <f>Baukon_neu[[#This Row],[GWP '[kg CO2-Äqu./m²'] Referenz]]/'Ausgabe Tabellen'!$C$21+Baukon_neu[[#This Row],[PENRT '[MJ/m²'] Referenz]]/'Ausgabe Tabellen'!$C$22+Baukon_neu[[#This Row],[RMI '[kg Primärrohstoffe/m²'] Referenz]]/'Ausgabe Tabellen'!$C$23+Baukon_neu[[#This Row],[WDP '[m² weighted water/m²'] Referenz]]/'Ausgabe Tabellen'!$C$24</f>
        <v>0</v>
      </c>
      <c r="AY26" s="78">
        <f>Baukon_neu[[#This Row],[GWP '[kg CO2-Äqu./m²'] min]]/'Ausgabe Tabellen'!$C$21+Baukon_neu[[#This Row],[PENRT '[MJ/m²'] min]]/'Ausgabe Tabellen'!$C$22+Baukon_neu[[#This Row],[RMI '[kg Primärrohstoffe/m²'] min]]/'Ausgabe Tabellen'!$C$23+Baukon_neu[[#This Row],[WDP '[m² weighted water/m²'] min]]/'Ausgabe Tabellen'!$C$24</f>
        <v>0</v>
      </c>
      <c r="AZ26" s="78">
        <f>Baukon_neu[[#This Row],[GWP '[kg CO2-Äqu./m²'] max]]/'Ausgabe Tabellen'!$C$21+Baukon_neu[[#This Row],[PENRT '[MJ/m²'] max]]/'Ausgabe Tabellen'!$C$22+Baukon_neu[[#This Row],[RMI '[kg Primärrohstoffe/m²'] max]]/'Ausgabe Tabellen'!$C$23+Baukon_neu[[#This Row],[WDP '[m² weighted water/m²'] max]]/'Ausgabe Tabellen'!$C$24</f>
        <v>0</v>
      </c>
    </row>
    <row r="27" spans="1:52" x14ac:dyDescent="0.65">
      <c r="A27" s="73" t="s">
        <v>123</v>
      </c>
      <c r="B27" s="74" t="s">
        <v>237</v>
      </c>
      <c r="C27" s="74">
        <v>1</v>
      </c>
      <c r="D27" s="74" t="s">
        <v>238</v>
      </c>
      <c r="E27" s="68" t="str">
        <f>Baukon_neu[[#This Row],[Variante Nummer]]&amp;". "&amp;Baukon_neu[[#This Row],[Name Baukonstruktion]]&amp;" | " &amp;Baukon_neu[[#This Row],[Variante Name]]</f>
        <v>1. Innenwand | Trockenbau</v>
      </c>
      <c r="F27" s="128" t="str">
        <f>IF(IFERROR(_xlfn.XLOOKUP(Baukon_neu[[#This Row],[ID Baukonstruktion]],Baukon_alle_A1_A3_results[ID Baukonstruktion],Baukon_alle_A1_A3_results[ID Baukonstruktion]),"okay")="okay", "okay","Achtung, id wird bereits verwendet")</f>
        <v>Achtung, id wird bereits verwendet</v>
      </c>
      <c r="G27" s="75" t="s">
        <v>239</v>
      </c>
      <c r="H27" s="73" t="s">
        <v>240</v>
      </c>
      <c r="I27" s="73" t="s">
        <v>225</v>
      </c>
      <c r="J27" s="74">
        <v>125</v>
      </c>
      <c r="K27" s="68">
        <f>IF(Baukon_neu[[#This Row],[ist Dämmstoff?]]="ja",Baukon_neu[[#This Row],[Dicke '[mm'] Referenz]]+_xlfn.XLOOKUP(RIGHT(Baukon_neu[[#Headers],[Dicke '[mm'] min]],3),Dämmstoffvarianten[Variante],Dämmstoffvarianten[Differenz Dämmstoffedicke zu Referenz '[mm']]),Baukon_neu[[#This Row],[Dicke '[mm'] Referenz]])</f>
        <v>125</v>
      </c>
      <c r="L27" s="68">
        <f>IF(Baukon_neu[[#This Row],[ist Dämmstoff?]]="ja",Baukon_neu[[#This Row],[Dicke '[mm'] Referenz]]+_xlfn.XLOOKUP(RIGHT(Baukon_neu[[#Headers],[Dicke '[mm'] max]],3),Dämmstoffvarianten[Variante],Dämmstoffvarianten[Differenz Dämmstoffedicke zu Referenz '[mm']]),Baukon_neu[[#This Row],[Dicke '[mm'] Referenz]])</f>
        <v>125</v>
      </c>
      <c r="M27" s="76">
        <v>1</v>
      </c>
      <c r="N27" s="75"/>
      <c r="O27" s="69">
        <f>IFERROR(Baukon_neu[[#This Row],[Dicke '[mm'] Referenz]]/1000*Baukon_neu[[#This Row],[Flächenanteil '[%']]],"")</f>
        <v>0.125</v>
      </c>
      <c r="P27" s="69">
        <f>IFERROR(Baukon_neu[[#This Row],[Dicke '[mm'] min]]/1000*Baukon_neu[[#This Row],[Flächenanteil '[%']]],"")</f>
        <v>0.125</v>
      </c>
      <c r="Q27" s="69">
        <f>IFERROR(Baukon_neu[[#This Row],[Dicke '[mm'] max]]/1000*Baukon_neu[[#This Row],[Flächenanteil '[%']]],"")</f>
        <v>0.125</v>
      </c>
      <c r="R27" s="77" t="s">
        <v>226</v>
      </c>
      <c r="S27" s="69" t="str">
        <f>IFERROR(_xlfn.XLOOKUP(Baukon_neu[[#This Row],[Produkt]],LeitRess_Materialien[Name],LeitRess_Materialien[Material_UUID]),"")</f>
        <v>07423e99-8c7c-4e93-8311-dcf7ae85c41d</v>
      </c>
      <c r="T27" s="69">
        <f>IF(OR(Baukon_neu[[#This Row],[Rohdichte '[kg/m³'], Eingabe ]]="", Baukon_neu[[#This Row],[Rohdichte '[kg/m³'], Eingabe ]]="0"),_xlfn.XLOOKUP(Baukon_neu[[#This Row],[LCA Datensatz]],LeitRess_Materialien[Material_UUID],LeitRess_Materialien[Rohdichte_'[kg/m3']]),Baukon_neu[[#This Row],[Rohdichte '[kg/m³'], Eingabe ]])</f>
        <v>800</v>
      </c>
      <c r="U27" s="69">
        <f>IF(OR(Baukon_neu[[#This Row],[Flächengewicht '[kg/m²'], Eingabe ]]="", Baukon_neu[[#This Row],[Flächengewicht '[kg/m²'], Eingabe ]]="0"),_xlfn.XLOOKUP(Baukon_neu[[#This Row],[LCA Datensatz]],LeitRess_Materialien[Material_UUID],LeitRess_Materialien[Flächengewicht_'[kg/m2']]),Baukon_neu[[#This Row],[Flächengewicht '[kg/m²'], Eingabe ]])</f>
        <v>10</v>
      </c>
      <c r="V27" s="69">
        <f>IF(OR(Baukon_neu[[#This Row],[Längengewicht '[kg/m'], Eingabe ]]="", Baukon_neu[[#This Row],[Längengewicht '[kg/m'], Eingabe ]]="0"),_xlfn.XLOOKUP(Baukon_neu[[#This Row],[LCA Datensatz]],LeitRess_Materialien[Material_UUID],LeitRess_Materialien[Längengewicht_'[kg/m']]),Baukon_neu[[#This Row],[Längengewicht '[kg/m'], Eingabe ]])</f>
        <v>0</v>
      </c>
      <c r="W27" s="69">
        <f>IF(OR(Baukon_neu[[#This Row],[lambda_'[W/mK'], Eingabe ]]="", Baukon_neu[[#This Row],[lambda_'[W/mK'], Eingabe ]]="0"),_xlfn.XLOOKUP(Baukon_neu[[#This Row],[LCA Datensatz]],LeitRess_Materialien[Material_UUID],LeitRess_Materialien[lambda_'[W/mK']]),Baukon_neu[[#This Row],[lambda_'[W/mK'], Eingabe ]])</f>
        <v>0.2</v>
      </c>
      <c r="X27" s="75"/>
      <c r="Y27" s="75"/>
      <c r="Z27" s="75"/>
      <c r="AA27" s="75"/>
      <c r="AB27" s="69">
        <f>IFERROR(
    IF(Baukon_neu[[#This Row],[Länge '[m/m²']]]*Baukon_neu[[#This Row],[Längengewicht '[kg/m']]]&lt;&gt;0, Baukon_neu[[#This Row],[Länge '[m/m²']]]*Baukon_neu[[#This Row],[Längengewicht '[kg/m']]],
       IF( Baukon_neu[[#This Row],[Volumen '[m³/m²'] Referenz]]*Baukon_neu[[#This Row],[Rohdichte '[kg/m³']]]&lt;&gt;0,
        Baukon_neu[[#This Row],[Volumen '[m³/m²'] Referenz]]*Baukon_neu[[#This Row],[Rohdichte '[kg/m³']]],
                Baukon_neu[[#This Row],[Flächenanteil '[%']]]*Baukon_neu[[#This Row],[Flächengewicht '[kg/m²']]])),"")</f>
        <v>100</v>
      </c>
      <c r="AC27" s="69">
        <f>IFERROR(
    IF(Baukon_neu[[#This Row],[Länge '[m/m²']]]*Baukon_neu[[#This Row],[Längengewicht '[kg/m']]]&lt;&gt;0, Baukon_neu[[#This Row],[Länge '[m/m²']]]*Baukon_neu[[#This Row],[Längengewicht '[kg/m']]],
       IF( Baukon_neu[[#This Row],[Volumen '[m³/m²'] min]]*Baukon_neu[[#This Row],[Rohdichte '[kg/m³']]]&lt;&gt;0,
        Baukon_neu[[#This Row],[Volumen '[m³/m²'] min]]*Baukon_neu[[#This Row],[Rohdichte '[kg/m³']]],
                Baukon_neu[[#This Row],[Flächenanteil '[%']]]*Baukon_neu[[#This Row],[Flächengewicht '[kg/m²']]])),"")</f>
        <v>100</v>
      </c>
      <c r="AD27" s="69">
        <f>IFERROR(
    IF(Baukon_neu[[#This Row],[Länge '[m/m²']]]*Baukon_neu[[#This Row],[Längengewicht '[kg/m']]]&lt;&gt;0, Baukon_neu[[#This Row],[Länge '[m/m²']]]*Baukon_neu[[#This Row],[Längengewicht '[kg/m']]],
       IF( Baukon_neu[[#This Row],[Volumen '[m³/m²'] max]]*Baukon_neu[[#This Row],[Rohdichte '[kg/m³']]]&lt;&gt;0,
        Baukon_neu[[#This Row],[Volumen '[m³/m²'] max]]*Baukon_neu[[#This Row],[Rohdichte '[kg/m³']]],
                Baukon_neu[[#This Row],[Flächenanteil '[%']]]*Baukon_neu[[#This Row],[Flächengewicht '[kg/m²']]])),"")</f>
        <v>100</v>
      </c>
      <c r="AE27" s="69">
        <f>IFERROR(Baukon_neu[[#This Row],[Dicke '[mm'] Referenz]]/Baukon_neu[[#This Row],[lambda_'[W/mK']]],"")</f>
        <v>625</v>
      </c>
      <c r="AF27" s="70">
        <f>_xlfn.XLOOKUP(Baukon_neu[[#This Row],[LCA Datensatz]],LeitRess_Materialien[Material_UUID],LeitRess_Materialien[RMI '[kg Primärrohstoffe / kg']])*Baukon_neu[[#This Row],[Masse '[kg/m²'] Referenz]]</f>
        <v>96.885190926662105</v>
      </c>
      <c r="AG27" s="70">
        <f>_xlfn.XLOOKUP(Baukon_neu[[#This Row],[LCA Datensatz]],LeitRess_Materialien[Material_UUID],LeitRess_Materialien[RMI '[kg Primärrohstoffe / kg']])*Baukon_neu[[#This Row],[Masse '[kg/m²'] min]]</f>
        <v>96.885190926662105</v>
      </c>
      <c r="AH27" s="70">
        <f>_xlfn.XLOOKUP(Baukon_neu[[#This Row],[LCA Datensatz]],LeitRess_Materialien[Material_UUID],LeitRess_Materialien[RMI '[kg Primärrohstoffe / kg']])*Baukon_neu[[#This Row],[Masse '[kg/m²'] max]]</f>
        <v>96.885190926662105</v>
      </c>
      <c r="AI27" s="70">
        <f>_xlfn.XLOOKUP(Baukon_neu[[#This Row],[LCA Datensatz]],LeitRess_Materialien[Material_UUID],LeitRess_Materialien[TMR '[kg Gesamtmaterialaufwand/kg']])*Baukon_neu[[#This Row],[Masse '[kg/m²'] Referenz]]</f>
        <v>105.04992021872901</v>
      </c>
      <c r="AJ27" s="70">
        <f>_xlfn.XLOOKUP(Baukon_neu[[#This Row],[LCA Datensatz]],LeitRess_Materialien[Material_UUID],LeitRess_Materialien[TMR '[kg Gesamtmaterialaufwand/kg']])*Baukon_neu[[#This Row],[Masse '[kg/m²'] min]]</f>
        <v>105.04992021872901</v>
      </c>
      <c r="AK27" s="70">
        <f>_xlfn.XLOOKUP(Baukon_neu[[#This Row],[LCA Datensatz]],LeitRess_Materialien[Material_UUID],LeitRess_Materialien[TMR '[kg Gesamtmaterialaufwand/kg']])*Baukon_neu[[#This Row],[Masse '[kg/m²'] max]]</f>
        <v>105.04992021872901</v>
      </c>
      <c r="AL27" s="70">
        <f>_xlfn.XLOOKUP(Baukon_neu[[#This Row],[LCA Datensatz]],LeitRess_Materialien[Material_UUID],LeitRess_Materialien[GWP '[kg CO2-Äqu./kg']])*Baukon_neu[[#This Row],[Masse '[kg/m²'] Referenz]]</f>
        <v>25.140556386449695</v>
      </c>
      <c r="AM27" s="70">
        <f>_xlfn.XLOOKUP(Baukon_neu[[#This Row],[LCA Datensatz]],LeitRess_Materialien[Material_UUID],LeitRess_Materialien[GWP '[kg CO2-Äqu./kg']])*Baukon_neu[[#This Row],[Masse '[kg/m²'] min]]</f>
        <v>25.140556386449695</v>
      </c>
      <c r="AN27" s="70">
        <f>_xlfn.XLOOKUP(Baukon_neu[[#This Row],[LCA Datensatz]],LeitRess_Materialien[Material_UUID],LeitRess_Materialien[GWP '[kg CO2-Äqu./kg']])*Baukon_neu[[#This Row],[Masse '[kg/m²'] max]]</f>
        <v>25.140556386449695</v>
      </c>
      <c r="AO27" s="70">
        <f>_xlfn.XLOOKUP(Baukon_neu[[#This Row],[LCA Datensatz]],LeitRess_Materialien[Material_UUID],LeitRess_Materialien[PENRT '[MJ/kg']])*Baukon_neu[[#This Row],[Masse '[kg/m²'] Referenz]]</f>
        <v>385.609909169177</v>
      </c>
      <c r="AP27" s="70">
        <f>_xlfn.XLOOKUP(Baukon_neu[[#This Row],[LCA Datensatz]],LeitRess_Materialien[Material_UUID],LeitRess_Materialien[PENRT '[MJ/kg']])*Baukon_neu[[#This Row],[Masse '[kg/m²'] min]]</f>
        <v>385.609909169177</v>
      </c>
      <c r="AQ27" s="70">
        <f>_xlfn.XLOOKUP(Baukon_neu[[#This Row],[LCA Datensatz]],LeitRess_Materialien[Material_UUID],LeitRess_Materialien[PENRT '[MJ/kg']])*Baukon_neu[[#This Row],[Masse '[kg/m²'] max]]</f>
        <v>385.609909169177</v>
      </c>
      <c r="AR27" s="70" t="e">
        <f>_xlfn.XLOOKUP(Baukon_neu[[#This Row],[LCA Datensatz]],LeitRess_Materialien[Material_UUID],#REF!)*Baukon_neu[[#This Row],[Masse '[kg/m²'] Referenz]]</f>
        <v>#REF!</v>
      </c>
      <c r="AS27" s="70" t="e">
        <f>_xlfn.XLOOKUP(Baukon_neu[[#This Row],[LCA Datensatz]],LeitRess_Materialien[Material_UUID],#REF!)*Baukon_neu[[#This Row],[Masse '[kg/m²'] min]]</f>
        <v>#REF!</v>
      </c>
      <c r="AT27" s="70" t="e">
        <f>_xlfn.XLOOKUP(Baukon_neu[[#This Row],[LCA Datensatz]],LeitRess_Materialien[Material_UUID],#REF!)*Baukon_neu[[#This Row],[Masse '[kg/m²'] max]]</f>
        <v>#REF!</v>
      </c>
      <c r="AU27" s="70">
        <f>_xlfn.XLOOKUP(Baukon_neu[[#This Row],[LCA Datensatz]],LeitRess_Materialien[Material_UUID],LeitRess_Materialien[WDP '[m³ weighted water/kg']])*Baukon_neu[[#This Row],[Masse '[kg/m²'] Referenz]]</f>
        <v>12.506783392176498</v>
      </c>
      <c r="AV27" s="70">
        <f>_xlfn.XLOOKUP(Baukon_neu[[#This Row],[LCA Datensatz]],LeitRess_Materialien[Material_UUID],LeitRess_Materialien[WDP '[m³ weighted water/kg']])*Baukon_neu[[#This Row],[Masse '[kg/m²'] min]]</f>
        <v>12.506783392176498</v>
      </c>
      <c r="AW27" s="70">
        <f>_xlfn.XLOOKUP(Baukon_neu[[#This Row],[LCA Datensatz]],LeitRess_Materialien[Material_UUID],LeitRess_Materialien[WDP '[m³ weighted water/kg']])*Baukon_neu[[#This Row],[Masse '[kg/m²'] max]]</f>
        <v>12.506783392176498</v>
      </c>
      <c r="AX27" s="78">
        <f>Baukon_neu[[#This Row],[GWP '[kg CO2-Äqu./m²'] Referenz]]/'Ausgabe Tabellen'!$C$21+Baukon_neu[[#This Row],[PENRT '[MJ/m²'] Referenz]]/'Ausgabe Tabellen'!$C$22+Baukon_neu[[#This Row],[RMI '[kg Primärrohstoffe/m²'] Referenz]]/'Ausgabe Tabellen'!$C$23+Baukon_neu[[#This Row],[WDP '[m² weighted water/m²'] Referenz]]/'Ausgabe Tabellen'!$C$24</f>
        <v>8.799079409860926E-3</v>
      </c>
      <c r="AY27" s="78">
        <f>Baukon_neu[[#This Row],[GWP '[kg CO2-Äqu./m²'] min]]/'Ausgabe Tabellen'!$C$21+Baukon_neu[[#This Row],[PENRT '[MJ/m²'] min]]/'Ausgabe Tabellen'!$C$22+Baukon_neu[[#This Row],[RMI '[kg Primärrohstoffe/m²'] min]]/'Ausgabe Tabellen'!$C$23+Baukon_neu[[#This Row],[WDP '[m² weighted water/m²'] min]]/'Ausgabe Tabellen'!$C$24</f>
        <v>8.799079409860926E-3</v>
      </c>
      <c r="AZ27" s="78">
        <f>Baukon_neu[[#This Row],[GWP '[kg CO2-Äqu./m²'] max]]/'Ausgabe Tabellen'!$C$21+Baukon_neu[[#This Row],[PENRT '[MJ/m²'] max]]/'Ausgabe Tabellen'!$C$22+Baukon_neu[[#This Row],[RMI '[kg Primärrohstoffe/m²'] max]]/'Ausgabe Tabellen'!$C$23+Baukon_neu[[#This Row],[WDP '[m² weighted water/m²'] max]]/'Ausgabe Tabellen'!$C$24</f>
        <v>8.799079409860926E-3</v>
      </c>
    </row>
    <row r="28" spans="1:52" x14ac:dyDescent="0.65">
      <c r="A28" s="73" t="s">
        <v>123</v>
      </c>
      <c r="B28" s="74" t="s">
        <v>237</v>
      </c>
      <c r="C28" s="74">
        <v>1</v>
      </c>
      <c r="D28" s="74" t="s">
        <v>238</v>
      </c>
      <c r="E28" s="68" t="str">
        <f>Baukon_neu[[#This Row],[Variante Nummer]]&amp;". "&amp;Baukon_neu[[#This Row],[Name Baukonstruktion]]&amp;" | " &amp;Baukon_neu[[#This Row],[Variante Name]]</f>
        <v>1. Innenwand | Trockenbau</v>
      </c>
      <c r="F28" s="128" t="str">
        <f>IF(IFERROR(_xlfn.XLOOKUP(Baukon_neu[[#This Row],[ID Baukonstruktion]],Baukon_alle_A1_A3_results[ID Baukonstruktion],Baukon_alle_A1_A3_results[ID Baukonstruktion]),"okay")="okay", "okay","Achtung, id wird bereits verwendet")</f>
        <v>Achtung, id wird bereits verwendet</v>
      </c>
      <c r="G28" s="75" t="s">
        <v>241</v>
      </c>
      <c r="H28" s="73" t="s">
        <v>227</v>
      </c>
      <c r="I28" s="73" t="s">
        <v>228</v>
      </c>
      <c r="J28" s="74">
        <v>100</v>
      </c>
      <c r="K28" s="68">
        <f>IF(Baukon_neu[[#This Row],[ist Dämmstoff?]]="ja",Baukon_neu[[#This Row],[Dicke '[mm'] Referenz]]+_xlfn.XLOOKUP(RIGHT(Baukon_neu[[#Headers],[Dicke '[mm'] min]],3),Dämmstoffvarianten[Variante],Dämmstoffvarianten[Differenz Dämmstoffedicke zu Referenz '[mm']]),Baukon_neu[[#This Row],[Dicke '[mm'] Referenz]])</f>
        <v>60</v>
      </c>
      <c r="L28" s="68">
        <f>IF(Baukon_neu[[#This Row],[ist Dämmstoff?]]="ja",Baukon_neu[[#This Row],[Dicke '[mm'] Referenz]]+_xlfn.XLOOKUP(RIGHT(Baukon_neu[[#Headers],[Dicke '[mm'] max]],3),Dämmstoffvarianten[Variante],Dämmstoffvarianten[Differenz Dämmstoffedicke zu Referenz '[mm']]),Baukon_neu[[#This Row],[Dicke '[mm'] Referenz]])</f>
        <v>180</v>
      </c>
      <c r="M28" s="76">
        <v>1</v>
      </c>
      <c r="N28" s="75"/>
      <c r="O28" s="69">
        <f>IFERROR(Baukon_neu[[#This Row],[Dicke '[mm'] Referenz]]/1000*Baukon_neu[[#This Row],[Flächenanteil '[%']]],"")</f>
        <v>0.1</v>
      </c>
      <c r="P28" s="69">
        <f>IFERROR(Baukon_neu[[#This Row],[Dicke '[mm'] min]]/1000*Baukon_neu[[#This Row],[Flächenanteil '[%']]],"")</f>
        <v>0.06</v>
      </c>
      <c r="Q28" s="69">
        <f>IFERROR(Baukon_neu[[#This Row],[Dicke '[mm'] max]]/1000*Baukon_neu[[#This Row],[Flächenanteil '[%']]],"")</f>
        <v>0.18</v>
      </c>
      <c r="R28" s="77" t="s">
        <v>226</v>
      </c>
      <c r="S28" s="69" t="str">
        <f>IFERROR(_xlfn.XLOOKUP(Baukon_neu[[#This Row],[Produkt]],LeitRess_Materialien[Name],LeitRess_Materialien[Material_UUID]),"")</f>
        <v>f8afef87-5de3-4996-838c-1f2af9ef81df</v>
      </c>
      <c r="T28" s="69">
        <f>IF(OR(Baukon_neu[[#This Row],[Rohdichte '[kg/m³'], Eingabe ]]="", Baukon_neu[[#This Row],[Rohdichte '[kg/m³'], Eingabe ]]="0"),_xlfn.XLOOKUP(Baukon_neu[[#This Row],[LCA Datensatz]],LeitRess_Materialien[Material_UUID],LeitRess_Materialien[Rohdichte_'[kg/m3']]),Baukon_neu[[#This Row],[Rohdichte '[kg/m³'], Eingabe ]])</f>
        <v>46.25</v>
      </c>
      <c r="U28" s="69">
        <f>IF(OR(Baukon_neu[[#This Row],[Flächengewicht '[kg/m²'], Eingabe ]]="", Baukon_neu[[#This Row],[Flächengewicht '[kg/m²'], Eingabe ]]="0"),_xlfn.XLOOKUP(Baukon_neu[[#This Row],[LCA Datensatz]],LeitRess_Materialien[Material_UUID],LeitRess_Materialien[Flächengewicht_'[kg/m2']]),Baukon_neu[[#This Row],[Flächengewicht '[kg/m²'], Eingabe ]])</f>
        <v>0</v>
      </c>
      <c r="V28" s="69">
        <f>IF(OR(Baukon_neu[[#This Row],[Längengewicht '[kg/m'], Eingabe ]]="", Baukon_neu[[#This Row],[Längengewicht '[kg/m'], Eingabe ]]="0"),_xlfn.XLOOKUP(Baukon_neu[[#This Row],[LCA Datensatz]],LeitRess_Materialien[Material_UUID],LeitRess_Materialien[Längengewicht_'[kg/m']]),Baukon_neu[[#This Row],[Längengewicht '[kg/m'], Eingabe ]])</f>
        <v>0</v>
      </c>
      <c r="W28" s="69">
        <f>IF(OR(Baukon_neu[[#This Row],[lambda_'[W/mK'], Eingabe ]]="", Baukon_neu[[#This Row],[lambda_'[W/mK'], Eingabe ]]="0"),_xlfn.XLOOKUP(Baukon_neu[[#This Row],[LCA Datensatz]],LeitRess_Materialien[Material_UUID],LeitRess_Materialien[lambda_'[W/mK']]),Baukon_neu[[#This Row],[lambda_'[W/mK'], Eingabe ]])</f>
        <v>4.2000000000000003E-2</v>
      </c>
      <c r="X28" s="75"/>
      <c r="Y28" s="75"/>
      <c r="Z28" s="75"/>
      <c r="AA28" s="75"/>
      <c r="AB28" s="69">
        <f>IFERROR(
    IF(Baukon_neu[[#This Row],[Länge '[m/m²']]]*Baukon_neu[[#This Row],[Längengewicht '[kg/m']]]&lt;&gt;0, Baukon_neu[[#This Row],[Länge '[m/m²']]]*Baukon_neu[[#This Row],[Längengewicht '[kg/m']]],
       IF( Baukon_neu[[#This Row],[Volumen '[m³/m²'] Referenz]]*Baukon_neu[[#This Row],[Rohdichte '[kg/m³']]]&lt;&gt;0,
        Baukon_neu[[#This Row],[Volumen '[m³/m²'] Referenz]]*Baukon_neu[[#This Row],[Rohdichte '[kg/m³']]],
                Baukon_neu[[#This Row],[Flächenanteil '[%']]]*Baukon_neu[[#This Row],[Flächengewicht '[kg/m²']]])),"")</f>
        <v>4.625</v>
      </c>
      <c r="AC28" s="69">
        <f>IFERROR(
    IF(Baukon_neu[[#This Row],[Länge '[m/m²']]]*Baukon_neu[[#This Row],[Längengewicht '[kg/m']]]&lt;&gt;0, Baukon_neu[[#This Row],[Länge '[m/m²']]]*Baukon_neu[[#This Row],[Längengewicht '[kg/m']]],
       IF( Baukon_neu[[#This Row],[Volumen '[m³/m²'] min]]*Baukon_neu[[#This Row],[Rohdichte '[kg/m³']]]&lt;&gt;0,
        Baukon_neu[[#This Row],[Volumen '[m³/m²'] min]]*Baukon_neu[[#This Row],[Rohdichte '[kg/m³']]],
                Baukon_neu[[#This Row],[Flächenanteil '[%']]]*Baukon_neu[[#This Row],[Flächengewicht '[kg/m²']]])),"")</f>
        <v>2.7749999999999999</v>
      </c>
      <c r="AD28" s="69">
        <f>IFERROR(
    IF(Baukon_neu[[#This Row],[Länge '[m/m²']]]*Baukon_neu[[#This Row],[Längengewicht '[kg/m']]]&lt;&gt;0, Baukon_neu[[#This Row],[Länge '[m/m²']]]*Baukon_neu[[#This Row],[Längengewicht '[kg/m']]],
       IF( Baukon_neu[[#This Row],[Volumen '[m³/m²'] max]]*Baukon_neu[[#This Row],[Rohdichte '[kg/m³']]]&lt;&gt;0,
        Baukon_neu[[#This Row],[Volumen '[m³/m²'] max]]*Baukon_neu[[#This Row],[Rohdichte '[kg/m³']]],
                Baukon_neu[[#This Row],[Flächenanteil '[%']]]*Baukon_neu[[#This Row],[Flächengewicht '[kg/m²']]])),"")</f>
        <v>8.3249999999999993</v>
      </c>
      <c r="AE28" s="69">
        <f>IFERROR(Baukon_neu[[#This Row],[Dicke '[mm'] Referenz]]/Baukon_neu[[#This Row],[lambda_'[W/mK']]],"")</f>
        <v>2380.9523809523807</v>
      </c>
      <c r="AF28" s="70">
        <f>_xlfn.XLOOKUP(Baukon_neu[[#This Row],[LCA Datensatz]],LeitRess_Materialien[Material_UUID],LeitRess_Materialien[RMI '[kg Primärrohstoffe / kg']])*Baukon_neu[[#This Row],[Masse '[kg/m²'] Referenz]]</f>
        <v>8.9126533214270101</v>
      </c>
      <c r="AG28" s="70">
        <f>_xlfn.XLOOKUP(Baukon_neu[[#This Row],[LCA Datensatz]],LeitRess_Materialien[Material_UUID],LeitRess_Materialien[RMI '[kg Primärrohstoffe / kg']])*Baukon_neu[[#This Row],[Masse '[kg/m²'] min]]</f>
        <v>5.3475919928562057</v>
      </c>
      <c r="AH28" s="70">
        <f>_xlfn.XLOOKUP(Baukon_neu[[#This Row],[LCA Datensatz]],LeitRess_Materialien[Material_UUID],LeitRess_Materialien[RMI '[kg Primärrohstoffe / kg']])*Baukon_neu[[#This Row],[Masse '[kg/m²'] max]]</f>
        <v>16.042775978568617</v>
      </c>
      <c r="AI28" s="70">
        <f>_xlfn.XLOOKUP(Baukon_neu[[#This Row],[LCA Datensatz]],LeitRess_Materialien[Material_UUID],LeitRess_Materialien[TMR '[kg Gesamtmaterialaufwand/kg']])*Baukon_neu[[#This Row],[Masse '[kg/m²'] Referenz]]</f>
        <v>10.816018591847159</v>
      </c>
      <c r="AJ28" s="70">
        <f>_xlfn.XLOOKUP(Baukon_neu[[#This Row],[LCA Datensatz]],LeitRess_Materialien[Material_UUID],LeitRess_Materialien[TMR '[kg Gesamtmaterialaufwand/kg']])*Baukon_neu[[#This Row],[Masse '[kg/m²'] min]]</f>
        <v>6.4896111551082951</v>
      </c>
      <c r="AK28" s="70">
        <f>_xlfn.XLOOKUP(Baukon_neu[[#This Row],[LCA Datensatz]],LeitRess_Materialien[Material_UUID],LeitRess_Materialien[TMR '[kg Gesamtmaterialaufwand/kg']])*Baukon_neu[[#This Row],[Masse '[kg/m²'] max]]</f>
        <v>19.468833465324884</v>
      </c>
      <c r="AL28" s="70">
        <f>_xlfn.XLOOKUP(Baukon_neu[[#This Row],[LCA Datensatz]],LeitRess_Materialien[Material_UUID],LeitRess_Materialien[GWP '[kg CO2-Äqu./kg']])*Baukon_neu[[#This Row],[Masse '[kg/m²'] Referenz]]</f>
        <v>4.5779675938252673</v>
      </c>
      <c r="AM28" s="70">
        <f>_xlfn.XLOOKUP(Baukon_neu[[#This Row],[LCA Datensatz]],LeitRess_Materialien[Material_UUID],LeitRess_Materialien[GWP '[kg CO2-Äqu./kg']])*Baukon_neu[[#This Row],[Masse '[kg/m²'] min]]</f>
        <v>2.7467805562951599</v>
      </c>
      <c r="AN28" s="70">
        <f>_xlfn.XLOOKUP(Baukon_neu[[#This Row],[LCA Datensatz]],LeitRess_Materialien[Material_UUID],LeitRess_Materialien[GWP '[kg CO2-Äqu./kg']])*Baukon_neu[[#This Row],[Masse '[kg/m²'] max]]</f>
        <v>8.2403416688854794</v>
      </c>
      <c r="AO28" s="70">
        <f>_xlfn.XLOOKUP(Baukon_neu[[#This Row],[LCA Datensatz]],LeitRess_Materialien[Material_UUID],LeitRess_Materialien[PENRT '[MJ/kg']])*Baukon_neu[[#This Row],[Masse '[kg/m²'] Referenz]]</f>
        <v>98.394467641187106</v>
      </c>
      <c r="AP28" s="70">
        <f>_xlfn.XLOOKUP(Baukon_neu[[#This Row],[LCA Datensatz]],LeitRess_Materialien[Material_UUID],LeitRess_Materialien[PENRT '[MJ/kg']])*Baukon_neu[[#This Row],[Masse '[kg/m²'] min]]</f>
        <v>59.036680584712258</v>
      </c>
      <c r="AQ28" s="70">
        <f>_xlfn.XLOOKUP(Baukon_neu[[#This Row],[LCA Datensatz]],LeitRess_Materialien[Material_UUID],LeitRess_Materialien[PENRT '[MJ/kg']])*Baukon_neu[[#This Row],[Masse '[kg/m²'] max]]</f>
        <v>177.11004175413677</v>
      </c>
      <c r="AR28" s="70" t="e">
        <f>_xlfn.XLOOKUP(Baukon_neu[[#This Row],[LCA Datensatz]],LeitRess_Materialien[Material_UUID],#REF!)*Baukon_neu[[#This Row],[Masse '[kg/m²'] Referenz]]</f>
        <v>#REF!</v>
      </c>
      <c r="AS28" s="70" t="e">
        <f>_xlfn.XLOOKUP(Baukon_neu[[#This Row],[LCA Datensatz]],LeitRess_Materialien[Material_UUID],#REF!)*Baukon_neu[[#This Row],[Masse '[kg/m²'] min]]</f>
        <v>#REF!</v>
      </c>
      <c r="AT28" s="70" t="e">
        <f>_xlfn.XLOOKUP(Baukon_neu[[#This Row],[LCA Datensatz]],LeitRess_Materialien[Material_UUID],#REF!)*Baukon_neu[[#This Row],[Masse '[kg/m²'] max]]</f>
        <v>#REF!</v>
      </c>
      <c r="AU28" s="70">
        <f>_xlfn.XLOOKUP(Baukon_neu[[#This Row],[LCA Datensatz]],LeitRess_Materialien[Material_UUID],LeitRess_Materialien[WDP '[m³ weighted water/kg']])*Baukon_neu[[#This Row],[Masse '[kg/m²'] Referenz]]</f>
        <v>5.012082005968213</v>
      </c>
      <c r="AV28" s="70">
        <f>_xlfn.XLOOKUP(Baukon_neu[[#This Row],[LCA Datensatz]],LeitRess_Materialien[Material_UUID],LeitRess_Materialien[WDP '[m³ weighted water/kg']])*Baukon_neu[[#This Row],[Masse '[kg/m²'] min]]</f>
        <v>3.007249203580928</v>
      </c>
      <c r="AW28" s="70">
        <f>_xlfn.XLOOKUP(Baukon_neu[[#This Row],[LCA Datensatz]],LeitRess_Materialien[Material_UUID],LeitRess_Materialien[WDP '[m³ weighted water/kg']])*Baukon_neu[[#This Row],[Masse '[kg/m²'] max]]</f>
        <v>9.0217476107427839</v>
      </c>
      <c r="AX28" s="78">
        <f>Baukon_neu[[#This Row],[GWP '[kg CO2-Äqu./m²'] Referenz]]/'Ausgabe Tabellen'!$C$21+Baukon_neu[[#This Row],[PENRT '[MJ/m²'] Referenz]]/'Ausgabe Tabellen'!$C$22+Baukon_neu[[#This Row],[RMI '[kg Primärrohstoffe/m²'] Referenz]]/'Ausgabe Tabellen'!$C$23+Baukon_neu[[#This Row],[WDP '[m² weighted water/m²'] Referenz]]/'Ausgabe Tabellen'!$C$24</f>
        <v>1.8062242068618824E-3</v>
      </c>
      <c r="AY28" s="78">
        <f>Baukon_neu[[#This Row],[GWP '[kg CO2-Äqu./m²'] min]]/'Ausgabe Tabellen'!$C$21+Baukon_neu[[#This Row],[PENRT '[MJ/m²'] min]]/'Ausgabe Tabellen'!$C$22+Baukon_neu[[#This Row],[RMI '[kg Primärrohstoffe/m²'] min]]/'Ausgabe Tabellen'!$C$23+Baukon_neu[[#This Row],[WDP '[m² weighted water/m²'] min]]/'Ausgabe Tabellen'!$C$24</f>
        <v>1.0837345241171293E-3</v>
      </c>
      <c r="AZ28" s="78">
        <f>Baukon_neu[[#This Row],[GWP '[kg CO2-Äqu./m²'] max]]/'Ausgabe Tabellen'!$C$21+Baukon_neu[[#This Row],[PENRT '[MJ/m²'] max]]/'Ausgabe Tabellen'!$C$22+Baukon_neu[[#This Row],[RMI '[kg Primärrohstoffe/m²'] max]]/'Ausgabe Tabellen'!$C$23+Baukon_neu[[#This Row],[WDP '[m² weighted water/m²'] max]]/'Ausgabe Tabellen'!$C$24</f>
        <v>3.2512035723513879E-3</v>
      </c>
    </row>
    <row r="29" spans="1:52" x14ac:dyDescent="0.65">
      <c r="A29" s="73" t="s">
        <v>123</v>
      </c>
      <c r="B29" s="74" t="s">
        <v>237</v>
      </c>
      <c r="C29" s="74">
        <v>1</v>
      </c>
      <c r="D29" s="74" t="s">
        <v>238</v>
      </c>
      <c r="E29" s="68" t="str">
        <f>Baukon_neu[[#This Row],[Variante Nummer]]&amp;". "&amp;Baukon_neu[[#This Row],[Name Baukonstruktion]]&amp;" | " &amp;Baukon_neu[[#This Row],[Variante Name]]</f>
        <v>1. Innenwand | Trockenbau</v>
      </c>
      <c r="F29" s="128" t="str">
        <f>IF(IFERROR(_xlfn.XLOOKUP(Baukon_neu[[#This Row],[ID Baukonstruktion]],Baukon_alle_A1_A3_results[ID Baukonstruktion],Baukon_alle_A1_A3_results[ID Baukonstruktion]),"okay")="okay", "okay","Achtung, id wird bereits verwendet")</f>
        <v>Achtung, id wird bereits verwendet</v>
      </c>
      <c r="G29" s="75" t="s">
        <v>242</v>
      </c>
      <c r="H29" s="73" t="s">
        <v>243</v>
      </c>
      <c r="I29" s="73" t="s">
        <v>225</v>
      </c>
      <c r="J29" s="74">
        <v>75</v>
      </c>
      <c r="K29" s="68">
        <f>IF(Baukon_neu[[#This Row],[ist Dämmstoff?]]="ja",Baukon_neu[[#This Row],[Dicke '[mm'] Referenz]]+_xlfn.XLOOKUP(RIGHT(Baukon_neu[[#Headers],[Dicke '[mm'] min]],3),Dämmstoffvarianten[Variante],Dämmstoffvarianten[Differenz Dämmstoffedicke zu Referenz '[mm']]),Baukon_neu[[#This Row],[Dicke '[mm'] Referenz]])</f>
        <v>75</v>
      </c>
      <c r="L29" s="68">
        <f>IF(Baukon_neu[[#This Row],[ist Dämmstoff?]]="ja",Baukon_neu[[#This Row],[Dicke '[mm'] Referenz]]+_xlfn.XLOOKUP(RIGHT(Baukon_neu[[#Headers],[Dicke '[mm'] max]],3),Dämmstoffvarianten[Variante],Dämmstoffvarianten[Differenz Dämmstoffedicke zu Referenz '[mm']]),Baukon_neu[[#This Row],[Dicke '[mm'] Referenz]])</f>
        <v>75</v>
      </c>
      <c r="M29" s="76">
        <v>0.1</v>
      </c>
      <c r="N29" s="75"/>
      <c r="O29" s="69">
        <f>IFERROR(Baukon_neu[[#This Row],[Dicke '[mm'] Referenz]]/1000*Baukon_neu[[#This Row],[Flächenanteil '[%']]],"")</f>
        <v>7.4999999999999997E-3</v>
      </c>
      <c r="P29" s="69">
        <f>IFERROR(Baukon_neu[[#This Row],[Dicke '[mm'] min]]/1000*Baukon_neu[[#This Row],[Flächenanteil '[%']]],"")</f>
        <v>7.4999999999999997E-3</v>
      </c>
      <c r="Q29" s="69">
        <f>IFERROR(Baukon_neu[[#This Row],[Dicke '[mm'] max]]/1000*Baukon_neu[[#This Row],[Flächenanteil '[%']]],"")</f>
        <v>7.4999999999999997E-3</v>
      </c>
      <c r="R29" s="77" t="s">
        <v>226</v>
      </c>
      <c r="S29" s="69" t="str">
        <f>IFERROR(_xlfn.XLOOKUP(Baukon_neu[[#This Row],[Produkt]],LeitRess_Materialien[Name],LeitRess_Materialien[Material_UUID]),"")</f>
        <v>1a70d292-a82c-42a6-a378-d3cbd9a9af4e</v>
      </c>
      <c r="T29" s="69">
        <f>IF(OR(Baukon_neu[[#This Row],[Rohdichte '[kg/m³'], Eingabe ]]="", Baukon_neu[[#This Row],[Rohdichte '[kg/m³'], Eingabe ]]="0"),_xlfn.XLOOKUP(Baukon_neu[[#This Row],[LCA Datensatz]],LeitRess_Materialien[Material_UUID],LeitRess_Materialien[Rohdichte_'[kg/m3']]),Baukon_neu[[#This Row],[Rohdichte '[kg/m³'], Eingabe ]])</f>
        <v>492.92</v>
      </c>
      <c r="U29" s="69">
        <f>IF(OR(Baukon_neu[[#This Row],[Flächengewicht '[kg/m²'], Eingabe ]]="", Baukon_neu[[#This Row],[Flächengewicht '[kg/m²'], Eingabe ]]="0"),_xlfn.XLOOKUP(Baukon_neu[[#This Row],[LCA Datensatz]],LeitRess_Materialien[Material_UUID],LeitRess_Materialien[Flächengewicht_'[kg/m2']]),Baukon_neu[[#This Row],[Flächengewicht '[kg/m²'], Eingabe ]])</f>
        <v>0</v>
      </c>
      <c r="V29" s="69">
        <f>IF(OR(Baukon_neu[[#This Row],[Längengewicht '[kg/m'], Eingabe ]]="", Baukon_neu[[#This Row],[Längengewicht '[kg/m'], Eingabe ]]="0"),_xlfn.XLOOKUP(Baukon_neu[[#This Row],[LCA Datensatz]],LeitRess_Materialien[Material_UUID],LeitRess_Materialien[Längengewicht_'[kg/m']]),Baukon_neu[[#This Row],[Längengewicht '[kg/m'], Eingabe ]])</f>
        <v>0</v>
      </c>
      <c r="W29" s="69">
        <f>IF(OR(Baukon_neu[[#This Row],[lambda_'[W/mK'], Eingabe ]]="", Baukon_neu[[#This Row],[lambda_'[W/mK'], Eingabe ]]="0"),_xlfn.XLOOKUP(Baukon_neu[[#This Row],[LCA Datensatz]],LeitRess_Materialien[Material_UUID],LeitRess_Materialien[lambda_'[W/mK']]),Baukon_neu[[#This Row],[lambda_'[W/mK'], Eingabe ]])</f>
        <v>0.1</v>
      </c>
      <c r="X29" s="75"/>
      <c r="Y29" s="75"/>
      <c r="Z29" s="75"/>
      <c r="AA29" s="75"/>
      <c r="AB29" s="69">
        <f>IFERROR(
    IF(Baukon_neu[[#This Row],[Länge '[m/m²']]]*Baukon_neu[[#This Row],[Längengewicht '[kg/m']]]&lt;&gt;0, Baukon_neu[[#This Row],[Länge '[m/m²']]]*Baukon_neu[[#This Row],[Längengewicht '[kg/m']]],
       IF( Baukon_neu[[#This Row],[Volumen '[m³/m²'] Referenz]]*Baukon_neu[[#This Row],[Rohdichte '[kg/m³']]]&lt;&gt;0,
        Baukon_neu[[#This Row],[Volumen '[m³/m²'] Referenz]]*Baukon_neu[[#This Row],[Rohdichte '[kg/m³']]],
                Baukon_neu[[#This Row],[Flächenanteil '[%']]]*Baukon_neu[[#This Row],[Flächengewicht '[kg/m²']]])),"")</f>
        <v>3.6968999999999999</v>
      </c>
      <c r="AC29" s="69">
        <f>IFERROR(
    IF(Baukon_neu[[#This Row],[Länge '[m/m²']]]*Baukon_neu[[#This Row],[Längengewicht '[kg/m']]]&lt;&gt;0, Baukon_neu[[#This Row],[Länge '[m/m²']]]*Baukon_neu[[#This Row],[Längengewicht '[kg/m']]],
       IF( Baukon_neu[[#This Row],[Volumen '[m³/m²'] min]]*Baukon_neu[[#This Row],[Rohdichte '[kg/m³']]]&lt;&gt;0,
        Baukon_neu[[#This Row],[Volumen '[m³/m²'] min]]*Baukon_neu[[#This Row],[Rohdichte '[kg/m³']]],
                Baukon_neu[[#This Row],[Flächenanteil '[%']]]*Baukon_neu[[#This Row],[Flächengewicht '[kg/m²']]])),"")</f>
        <v>3.6968999999999999</v>
      </c>
      <c r="AD29" s="69">
        <f>IFERROR(
    IF(Baukon_neu[[#This Row],[Länge '[m/m²']]]*Baukon_neu[[#This Row],[Längengewicht '[kg/m']]]&lt;&gt;0, Baukon_neu[[#This Row],[Länge '[m/m²']]]*Baukon_neu[[#This Row],[Längengewicht '[kg/m']]],
       IF( Baukon_neu[[#This Row],[Volumen '[m³/m²'] max]]*Baukon_neu[[#This Row],[Rohdichte '[kg/m³']]]&lt;&gt;0,
        Baukon_neu[[#This Row],[Volumen '[m³/m²'] max]]*Baukon_neu[[#This Row],[Rohdichte '[kg/m³']]],
                Baukon_neu[[#This Row],[Flächenanteil '[%']]]*Baukon_neu[[#This Row],[Flächengewicht '[kg/m²']]])),"")</f>
        <v>3.6968999999999999</v>
      </c>
      <c r="AE29" s="69">
        <f>IFERROR(Baukon_neu[[#This Row],[Dicke '[mm'] Referenz]]/Baukon_neu[[#This Row],[lambda_'[W/mK']]],"")</f>
        <v>750</v>
      </c>
      <c r="AF29" s="70">
        <f>_xlfn.XLOOKUP(Baukon_neu[[#This Row],[LCA Datensatz]],LeitRess_Materialien[Material_UUID],LeitRess_Materialien[RMI '[kg Primärrohstoffe / kg']])*Baukon_neu[[#This Row],[Masse '[kg/m²'] Referenz]]</f>
        <v>7.4758897619682054</v>
      </c>
      <c r="AG29" s="70">
        <f>_xlfn.XLOOKUP(Baukon_neu[[#This Row],[LCA Datensatz]],LeitRess_Materialien[Material_UUID],LeitRess_Materialien[RMI '[kg Primärrohstoffe / kg']])*Baukon_neu[[#This Row],[Masse '[kg/m²'] min]]</f>
        <v>7.4758897619682054</v>
      </c>
      <c r="AH29" s="70">
        <f>_xlfn.XLOOKUP(Baukon_neu[[#This Row],[LCA Datensatz]],LeitRess_Materialien[Material_UUID],LeitRess_Materialien[RMI '[kg Primärrohstoffe / kg']])*Baukon_neu[[#This Row],[Masse '[kg/m²'] max]]</f>
        <v>7.4758897619682054</v>
      </c>
      <c r="AI29" s="70">
        <f>_xlfn.XLOOKUP(Baukon_neu[[#This Row],[LCA Datensatz]],LeitRess_Materialien[Material_UUID],LeitRess_Materialien[TMR '[kg Gesamtmaterialaufwand/kg']])*Baukon_neu[[#This Row],[Masse '[kg/m²'] Referenz]]</f>
        <v>8.6541393404284683</v>
      </c>
      <c r="AJ29" s="70">
        <f>_xlfn.XLOOKUP(Baukon_neu[[#This Row],[LCA Datensatz]],LeitRess_Materialien[Material_UUID],LeitRess_Materialien[TMR '[kg Gesamtmaterialaufwand/kg']])*Baukon_neu[[#This Row],[Masse '[kg/m²'] min]]</f>
        <v>8.6541393404284683</v>
      </c>
      <c r="AK29" s="70">
        <f>_xlfn.XLOOKUP(Baukon_neu[[#This Row],[LCA Datensatz]],LeitRess_Materialien[Material_UUID],LeitRess_Materialien[TMR '[kg Gesamtmaterialaufwand/kg']])*Baukon_neu[[#This Row],[Masse '[kg/m²'] max]]</f>
        <v>8.6541393404284683</v>
      </c>
      <c r="AL29" s="70">
        <f>_xlfn.XLOOKUP(Baukon_neu[[#This Row],[LCA Datensatz]],LeitRess_Materialien[Material_UUID],LeitRess_Materialien[GWP '[kg CO2-Äqu./kg']])*Baukon_neu[[#This Row],[Masse '[kg/m²'] Referenz]]</f>
        <v>0.77844287769639631</v>
      </c>
      <c r="AM29" s="70">
        <f>_xlfn.XLOOKUP(Baukon_neu[[#This Row],[LCA Datensatz]],LeitRess_Materialien[Material_UUID],LeitRess_Materialien[GWP '[kg CO2-Äqu./kg']])*Baukon_neu[[#This Row],[Masse '[kg/m²'] min]]</f>
        <v>0.77844287769639631</v>
      </c>
      <c r="AN29" s="70">
        <f>_xlfn.XLOOKUP(Baukon_neu[[#This Row],[LCA Datensatz]],LeitRess_Materialien[Material_UUID],LeitRess_Materialien[GWP '[kg CO2-Äqu./kg']])*Baukon_neu[[#This Row],[Masse '[kg/m²'] max]]</f>
        <v>0.77844287769639631</v>
      </c>
      <c r="AO29" s="70">
        <f>_xlfn.XLOOKUP(Baukon_neu[[#This Row],[LCA Datensatz]],LeitRess_Materialien[Material_UUID],LeitRess_Materialien[PENRT '[MJ/kg']])*Baukon_neu[[#This Row],[Masse '[kg/m²'] Referenz]]</f>
        <v>14.09568583208176</v>
      </c>
      <c r="AP29" s="70">
        <f>_xlfn.XLOOKUP(Baukon_neu[[#This Row],[LCA Datensatz]],LeitRess_Materialien[Material_UUID],LeitRess_Materialien[PENRT '[MJ/kg']])*Baukon_neu[[#This Row],[Masse '[kg/m²'] min]]</f>
        <v>14.09568583208176</v>
      </c>
      <c r="AQ29" s="70">
        <f>_xlfn.XLOOKUP(Baukon_neu[[#This Row],[LCA Datensatz]],LeitRess_Materialien[Material_UUID],LeitRess_Materialien[PENRT '[MJ/kg']])*Baukon_neu[[#This Row],[Masse '[kg/m²'] max]]</f>
        <v>14.09568583208176</v>
      </c>
      <c r="AR29" s="70" t="e">
        <f>_xlfn.XLOOKUP(Baukon_neu[[#This Row],[LCA Datensatz]],LeitRess_Materialien[Material_UUID],#REF!)*Baukon_neu[[#This Row],[Masse '[kg/m²'] Referenz]]</f>
        <v>#REF!</v>
      </c>
      <c r="AS29" s="70" t="e">
        <f>_xlfn.XLOOKUP(Baukon_neu[[#This Row],[LCA Datensatz]],LeitRess_Materialien[Material_UUID],#REF!)*Baukon_neu[[#This Row],[Masse '[kg/m²'] min]]</f>
        <v>#REF!</v>
      </c>
      <c r="AT29" s="70" t="e">
        <f>_xlfn.XLOOKUP(Baukon_neu[[#This Row],[LCA Datensatz]],LeitRess_Materialien[Material_UUID],#REF!)*Baukon_neu[[#This Row],[Masse '[kg/m²'] max]]</f>
        <v>#REF!</v>
      </c>
      <c r="AU29" s="70">
        <f>_xlfn.XLOOKUP(Baukon_neu[[#This Row],[LCA Datensatz]],LeitRess_Materialien[Material_UUID],LeitRess_Materialien[WDP '[m³ weighted water/kg']])*Baukon_neu[[#This Row],[Masse '[kg/m²'] Referenz]]</f>
        <v>0.314000677512909</v>
      </c>
      <c r="AV29" s="70">
        <f>_xlfn.XLOOKUP(Baukon_neu[[#This Row],[LCA Datensatz]],LeitRess_Materialien[Material_UUID],LeitRess_Materialien[WDP '[m³ weighted water/kg']])*Baukon_neu[[#This Row],[Masse '[kg/m²'] min]]</f>
        <v>0.314000677512909</v>
      </c>
      <c r="AW29" s="70">
        <f>_xlfn.XLOOKUP(Baukon_neu[[#This Row],[LCA Datensatz]],LeitRess_Materialien[Material_UUID],LeitRess_Materialien[WDP '[m³ weighted water/kg']])*Baukon_neu[[#This Row],[Masse '[kg/m²'] max]]</f>
        <v>0.314000677512909</v>
      </c>
      <c r="AX29" s="78">
        <f>Baukon_neu[[#This Row],[GWP '[kg CO2-Äqu./m²'] Referenz]]/'Ausgabe Tabellen'!$C$21+Baukon_neu[[#This Row],[PENRT '[MJ/m²'] Referenz]]/'Ausgabe Tabellen'!$C$22+Baukon_neu[[#This Row],[RMI '[kg Primärrohstoffe/m²'] Referenz]]/'Ausgabe Tabellen'!$C$23+Baukon_neu[[#This Row],[WDP '[m² weighted water/m²'] Referenz]]/'Ausgabe Tabellen'!$C$24</f>
        <v>4.039857072977271E-4</v>
      </c>
      <c r="AY29" s="78">
        <f>Baukon_neu[[#This Row],[GWP '[kg CO2-Äqu./m²'] min]]/'Ausgabe Tabellen'!$C$21+Baukon_neu[[#This Row],[PENRT '[MJ/m²'] min]]/'Ausgabe Tabellen'!$C$22+Baukon_neu[[#This Row],[RMI '[kg Primärrohstoffe/m²'] min]]/'Ausgabe Tabellen'!$C$23+Baukon_neu[[#This Row],[WDP '[m² weighted water/m²'] min]]/'Ausgabe Tabellen'!$C$24</f>
        <v>4.039857072977271E-4</v>
      </c>
      <c r="AZ29" s="78">
        <f>Baukon_neu[[#This Row],[GWP '[kg CO2-Äqu./m²'] max]]/'Ausgabe Tabellen'!$C$21+Baukon_neu[[#This Row],[PENRT '[MJ/m²'] max]]/'Ausgabe Tabellen'!$C$22+Baukon_neu[[#This Row],[RMI '[kg Primärrohstoffe/m²'] max]]/'Ausgabe Tabellen'!$C$23+Baukon_neu[[#This Row],[WDP '[m² weighted water/m²'] max]]/'Ausgabe Tabellen'!$C$24</f>
        <v>4.039857072977271E-4</v>
      </c>
    </row>
    <row r="30" spans="1:52" x14ac:dyDescent="0.65">
      <c r="A30" s="73" t="s">
        <v>244</v>
      </c>
      <c r="B30" s="74"/>
      <c r="C30" s="74"/>
      <c r="D30" s="74"/>
      <c r="E30" s="68" t="str">
        <f>Baukon_neu[[#This Row],[Variante Nummer]]&amp;". "&amp;Baukon_neu[[#This Row],[Name Baukonstruktion]]&amp;" | " &amp;Baukon_neu[[#This Row],[Variante Name]]</f>
        <v xml:space="preserve">.  | </v>
      </c>
      <c r="F30" s="128" t="str">
        <f>IF(IFERROR(_xlfn.XLOOKUP(Baukon_neu[[#This Row],[ID Baukonstruktion]],Baukon_alle_A1_A3_results[ID Baukonstruktion],Baukon_alle_A1_A3_results[ID Baukonstruktion]),"okay")="okay", "okay","Achtung, id wird bereits verwendet")</f>
        <v>okay</v>
      </c>
      <c r="G30" s="75"/>
      <c r="H30" s="73" t="s">
        <v>244</v>
      </c>
      <c r="I30" s="73" t="s">
        <v>244</v>
      </c>
      <c r="J30" s="74"/>
      <c r="K30" s="68">
        <f>IF(Baukon_neu[[#This Row],[ist Dämmstoff?]]="ja",Baukon_neu[[#This Row],[Dicke '[mm'] Referenz]]+_xlfn.XLOOKUP(RIGHT(Baukon_neu[[#Headers],[Dicke '[mm'] min]],3),Dämmstoffvarianten[Variante],Dämmstoffvarianten[Differenz Dämmstoffedicke zu Referenz '[mm']]),Baukon_neu[[#This Row],[Dicke '[mm'] Referenz]])</f>
        <v>0</v>
      </c>
      <c r="L30" s="68">
        <f>IF(Baukon_neu[[#This Row],[ist Dämmstoff?]]="ja",Baukon_neu[[#This Row],[Dicke '[mm'] Referenz]]+_xlfn.XLOOKUP(RIGHT(Baukon_neu[[#Headers],[Dicke '[mm'] max]],3),Dämmstoffvarianten[Variante],Dämmstoffvarianten[Differenz Dämmstoffedicke zu Referenz '[mm']]),Baukon_neu[[#This Row],[Dicke '[mm'] Referenz]])</f>
        <v>0</v>
      </c>
      <c r="M30" s="76">
        <v>1</v>
      </c>
      <c r="N30" s="75"/>
      <c r="O30" s="69">
        <f>IFERROR(Baukon_neu[[#This Row],[Dicke '[mm'] Referenz]]/1000*Baukon_neu[[#This Row],[Flächenanteil '[%']]],"")</f>
        <v>0</v>
      </c>
      <c r="P30" s="69">
        <f>IFERROR(Baukon_neu[[#This Row],[Dicke '[mm'] min]]/1000*Baukon_neu[[#This Row],[Flächenanteil '[%']]],"")</f>
        <v>0</v>
      </c>
      <c r="Q30" s="69">
        <f>IFERROR(Baukon_neu[[#This Row],[Dicke '[mm'] max]]/1000*Baukon_neu[[#This Row],[Flächenanteil '[%']]],"")</f>
        <v>0</v>
      </c>
      <c r="R30" s="77" t="s">
        <v>226</v>
      </c>
      <c r="S30" s="69" t="str">
        <f>IFERROR(_xlfn.XLOOKUP(Baukon_neu[[#This Row],[Produkt]],LeitRess_Materialien[Name],LeitRess_Materialien[Material_UUID]),"")</f>
        <v>0</v>
      </c>
      <c r="T30" s="69">
        <f>IF(OR(Baukon_neu[[#This Row],[Rohdichte '[kg/m³'], Eingabe ]]="", Baukon_neu[[#This Row],[Rohdichte '[kg/m³'], Eingabe ]]="0"),_xlfn.XLOOKUP(Baukon_neu[[#This Row],[LCA Datensatz]],LeitRess_Materialien[Material_UUID],LeitRess_Materialien[Rohdichte_'[kg/m3']]),Baukon_neu[[#This Row],[Rohdichte '[kg/m³'], Eingabe ]])</f>
        <v>0</v>
      </c>
      <c r="U30" s="69">
        <f>IF(OR(Baukon_neu[[#This Row],[Flächengewicht '[kg/m²'], Eingabe ]]="", Baukon_neu[[#This Row],[Flächengewicht '[kg/m²'], Eingabe ]]="0"),_xlfn.XLOOKUP(Baukon_neu[[#This Row],[LCA Datensatz]],LeitRess_Materialien[Material_UUID],LeitRess_Materialien[Flächengewicht_'[kg/m2']]),Baukon_neu[[#This Row],[Flächengewicht '[kg/m²'], Eingabe ]])</f>
        <v>0</v>
      </c>
      <c r="V30" s="69">
        <f>IF(OR(Baukon_neu[[#This Row],[Längengewicht '[kg/m'], Eingabe ]]="", Baukon_neu[[#This Row],[Längengewicht '[kg/m'], Eingabe ]]="0"),_xlfn.XLOOKUP(Baukon_neu[[#This Row],[LCA Datensatz]],LeitRess_Materialien[Material_UUID],LeitRess_Materialien[Längengewicht_'[kg/m']]),Baukon_neu[[#This Row],[Längengewicht '[kg/m'], Eingabe ]])</f>
        <v>0</v>
      </c>
      <c r="W30" s="69">
        <f>IF(OR(Baukon_neu[[#This Row],[lambda_'[W/mK'], Eingabe ]]="", Baukon_neu[[#This Row],[lambda_'[W/mK'], Eingabe ]]="0"),_xlfn.XLOOKUP(Baukon_neu[[#This Row],[LCA Datensatz]],LeitRess_Materialien[Material_UUID],LeitRess_Materialien[lambda_'[W/mK']]),Baukon_neu[[#This Row],[lambda_'[W/mK'], Eingabe ]])</f>
        <v>0</v>
      </c>
      <c r="X30" s="75"/>
      <c r="Y30" s="75"/>
      <c r="Z30" s="75"/>
      <c r="AA30" s="75"/>
      <c r="AB30" s="69">
        <f>IFERROR(
    IF(Baukon_neu[[#This Row],[Länge '[m/m²']]]*Baukon_neu[[#This Row],[Längengewicht '[kg/m']]]&lt;&gt;0, Baukon_neu[[#This Row],[Länge '[m/m²']]]*Baukon_neu[[#This Row],[Längengewicht '[kg/m']]],
       IF( Baukon_neu[[#This Row],[Volumen '[m³/m²'] Referenz]]*Baukon_neu[[#This Row],[Rohdichte '[kg/m³']]]&lt;&gt;0,
        Baukon_neu[[#This Row],[Volumen '[m³/m²'] Referenz]]*Baukon_neu[[#This Row],[Rohdichte '[kg/m³']]],
                Baukon_neu[[#This Row],[Flächenanteil '[%']]]*Baukon_neu[[#This Row],[Flächengewicht '[kg/m²']]])),"")</f>
        <v>0</v>
      </c>
      <c r="AC30" s="69">
        <f>IFERROR(
    IF(Baukon_neu[[#This Row],[Länge '[m/m²']]]*Baukon_neu[[#This Row],[Längengewicht '[kg/m']]]&lt;&gt;0, Baukon_neu[[#This Row],[Länge '[m/m²']]]*Baukon_neu[[#This Row],[Längengewicht '[kg/m']]],
       IF( Baukon_neu[[#This Row],[Volumen '[m³/m²'] min]]*Baukon_neu[[#This Row],[Rohdichte '[kg/m³']]]&lt;&gt;0,
        Baukon_neu[[#This Row],[Volumen '[m³/m²'] min]]*Baukon_neu[[#This Row],[Rohdichte '[kg/m³']]],
                Baukon_neu[[#This Row],[Flächenanteil '[%']]]*Baukon_neu[[#This Row],[Flächengewicht '[kg/m²']]])),"")</f>
        <v>0</v>
      </c>
      <c r="AD30" s="69">
        <f>IFERROR(
    IF(Baukon_neu[[#This Row],[Länge '[m/m²']]]*Baukon_neu[[#This Row],[Längengewicht '[kg/m']]]&lt;&gt;0, Baukon_neu[[#This Row],[Länge '[m/m²']]]*Baukon_neu[[#This Row],[Längengewicht '[kg/m']]],
       IF( Baukon_neu[[#This Row],[Volumen '[m³/m²'] max]]*Baukon_neu[[#This Row],[Rohdichte '[kg/m³']]]&lt;&gt;0,
        Baukon_neu[[#This Row],[Volumen '[m³/m²'] max]]*Baukon_neu[[#This Row],[Rohdichte '[kg/m³']]],
                Baukon_neu[[#This Row],[Flächenanteil '[%']]]*Baukon_neu[[#This Row],[Flächengewicht '[kg/m²']]])),"")</f>
        <v>0</v>
      </c>
      <c r="AE30" s="69" t="str">
        <f>IFERROR(Baukon_neu[[#This Row],[Dicke '[mm'] Referenz]]/Baukon_neu[[#This Row],[lambda_'[W/mK']]],"")</f>
        <v/>
      </c>
      <c r="AF30" s="70">
        <f>_xlfn.XLOOKUP(Baukon_neu[[#This Row],[LCA Datensatz]],LeitRess_Materialien[Material_UUID],LeitRess_Materialien[RMI '[kg Primärrohstoffe / kg']])*Baukon_neu[[#This Row],[Masse '[kg/m²'] Referenz]]</f>
        <v>0</v>
      </c>
      <c r="AG30" s="70">
        <f>_xlfn.XLOOKUP(Baukon_neu[[#This Row],[LCA Datensatz]],LeitRess_Materialien[Material_UUID],LeitRess_Materialien[RMI '[kg Primärrohstoffe / kg']])*Baukon_neu[[#This Row],[Masse '[kg/m²'] min]]</f>
        <v>0</v>
      </c>
      <c r="AH30" s="70">
        <f>_xlfn.XLOOKUP(Baukon_neu[[#This Row],[LCA Datensatz]],LeitRess_Materialien[Material_UUID],LeitRess_Materialien[RMI '[kg Primärrohstoffe / kg']])*Baukon_neu[[#This Row],[Masse '[kg/m²'] max]]</f>
        <v>0</v>
      </c>
      <c r="AI30" s="70">
        <f>_xlfn.XLOOKUP(Baukon_neu[[#This Row],[LCA Datensatz]],LeitRess_Materialien[Material_UUID],LeitRess_Materialien[TMR '[kg Gesamtmaterialaufwand/kg']])*Baukon_neu[[#This Row],[Masse '[kg/m²'] Referenz]]</f>
        <v>0</v>
      </c>
      <c r="AJ30" s="70">
        <f>_xlfn.XLOOKUP(Baukon_neu[[#This Row],[LCA Datensatz]],LeitRess_Materialien[Material_UUID],LeitRess_Materialien[TMR '[kg Gesamtmaterialaufwand/kg']])*Baukon_neu[[#This Row],[Masse '[kg/m²'] min]]</f>
        <v>0</v>
      </c>
      <c r="AK30" s="70">
        <f>_xlfn.XLOOKUP(Baukon_neu[[#This Row],[LCA Datensatz]],LeitRess_Materialien[Material_UUID],LeitRess_Materialien[TMR '[kg Gesamtmaterialaufwand/kg']])*Baukon_neu[[#This Row],[Masse '[kg/m²'] max]]</f>
        <v>0</v>
      </c>
      <c r="AL30" s="70">
        <f>_xlfn.XLOOKUP(Baukon_neu[[#This Row],[LCA Datensatz]],LeitRess_Materialien[Material_UUID],LeitRess_Materialien[GWP '[kg CO2-Äqu./kg']])*Baukon_neu[[#This Row],[Masse '[kg/m²'] Referenz]]</f>
        <v>0</v>
      </c>
      <c r="AM30" s="70">
        <f>_xlfn.XLOOKUP(Baukon_neu[[#This Row],[LCA Datensatz]],LeitRess_Materialien[Material_UUID],LeitRess_Materialien[GWP '[kg CO2-Äqu./kg']])*Baukon_neu[[#This Row],[Masse '[kg/m²'] min]]</f>
        <v>0</v>
      </c>
      <c r="AN30" s="70">
        <f>_xlfn.XLOOKUP(Baukon_neu[[#This Row],[LCA Datensatz]],LeitRess_Materialien[Material_UUID],LeitRess_Materialien[GWP '[kg CO2-Äqu./kg']])*Baukon_neu[[#This Row],[Masse '[kg/m²'] max]]</f>
        <v>0</v>
      </c>
      <c r="AO30" s="70">
        <f>_xlfn.XLOOKUP(Baukon_neu[[#This Row],[LCA Datensatz]],LeitRess_Materialien[Material_UUID],LeitRess_Materialien[PENRT '[MJ/kg']])*Baukon_neu[[#This Row],[Masse '[kg/m²'] Referenz]]</f>
        <v>0</v>
      </c>
      <c r="AP30" s="70">
        <f>_xlfn.XLOOKUP(Baukon_neu[[#This Row],[LCA Datensatz]],LeitRess_Materialien[Material_UUID],LeitRess_Materialien[PENRT '[MJ/kg']])*Baukon_neu[[#This Row],[Masse '[kg/m²'] min]]</f>
        <v>0</v>
      </c>
      <c r="AQ30" s="70">
        <f>_xlfn.XLOOKUP(Baukon_neu[[#This Row],[LCA Datensatz]],LeitRess_Materialien[Material_UUID],LeitRess_Materialien[PENRT '[MJ/kg']])*Baukon_neu[[#This Row],[Masse '[kg/m²'] max]]</f>
        <v>0</v>
      </c>
      <c r="AR30" s="70" t="e">
        <f>_xlfn.XLOOKUP(Baukon_neu[[#This Row],[LCA Datensatz]],LeitRess_Materialien[Material_UUID],#REF!)*Baukon_neu[[#This Row],[Masse '[kg/m²'] Referenz]]</f>
        <v>#REF!</v>
      </c>
      <c r="AS30" s="70" t="e">
        <f>_xlfn.XLOOKUP(Baukon_neu[[#This Row],[LCA Datensatz]],LeitRess_Materialien[Material_UUID],#REF!)*Baukon_neu[[#This Row],[Masse '[kg/m²'] min]]</f>
        <v>#REF!</v>
      </c>
      <c r="AT30" s="70" t="e">
        <f>_xlfn.XLOOKUP(Baukon_neu[[#This Row],[LCA Datensatz]],LeitRess_Materialien[Material_UUID],#REF!)*Baukon_neu[[#This Row],[Masse '[kg/m²'] max]]</f>
        <v>#REF!</v>
      </c>
      <c r="AU30" s="70">
        <f>_xlfn.XLOOKUP(Baukon_neu[[#This Row],[LCA Datensatz]],LeitRess_Materialien[Material_UUID],LeitRess_Materialien[WDP '[m³ weighted water/kg']])*Baukon_neu[[#This Row],[Masse '[kg/m²'] Referenz]]</f>
        <v>0</v>
      </c>
      <c r="AV30" s="70">
        <f>_xlfn.XLOOKUP(Baukon_neu[[#This Row],[LCA Datensatz]],LeitRess_Materialien[Material_UUID],LeitRess_Materialien[WDP '[m³ weighted water/kg']])*Baukon_neu[[#This Row],[Masse '[kg/m²'] min]]</f>
        <v>0</v>
      </c>
      <c r="AW30" s="70">
        <f>_xlfn.XLOOKUP(Baukon_neu[[#This Row],[LCA Datensatz]],LeitRess_Materialien[Material_UUID],LeitRess_Materialien[WDP '[m³ weighted water/kg']])*Baukon_neu[[#This Row],[Masse '[kg/m²'] max]]</f>
        <v>0</v>
      </c>
      <c r="AX30" s="78">
        <f>Baukon_neu[[#This Row],[GWP '[kg CO2-Äqu./m²'] Referenz]]/'Ausgabe Tabellen'!$C$21+Baukon_neu[[#This Row],[PENRT '[MJ/m²'] Referenz]]/'Ausgabe Tabellen'!$C$22+Baukon_neu[[#This Row],[RMI '[kg Primärrohstoffe/m²'] Referenz]]/'Ausgabe Tabellen'!$C$23+Baukon_neu[[#This Row],[WDP '[m² weighted water/m²'] Referenz]]/'Ausgabe Tabellen'!$C$24</f>
        <v>0</v>
      </c>
      <c r="AY30" s="78">
        <f>Baukon_neu[[#This Row],[GWP '[kg CO2-Äqu./m²'] min]]/'Ausgabe Tabellen'!$C$21+Baukon_neu[[#This Row],[PENRT '[MJ/m²'] min]]/'Ausgabe Tabellen'!$C$22+Baukon_neu[[#This Row],[RMI '[kg Primärrohstoffe/m²'] min]]/'Ausgabe Tabellen'!$C$23+Baukon_neu[[#This Row],[WDP '[m² weighted water/m²'] min]]/'Ausgabe Tabellen'!$C$24</f>
        <v>0</v>
      </c>
      <c r="AZ30" s="78">
        <f>Baukon_neu[[#This Row],[GWP '[kg CO2-Äqu./m²'] max]]/'Ausgabe Tabellen'!$C$21+Baukon_neu[[#This Row],[PENRT '[MJ/m²'] max]]/'Ausgabe Tabellen'!$C$22+Baukon_neu[[#This Row],[RMI '[kg Primärrohstoffe/m²'] max]]/'Ausgabe Tabellen'!$C$23+Baukon_neu[[#This Row],[WDP '[m² weighted water/m²'] max]]/'Ausgabe Tabellen'!$C$24</f>
        <v>0</v>
      </c>
    </row>
    <row r="31" spans="1:52" x14ac:dyDescent="0.65">
      <c r="A31" s="73" t="s">
        <v>244</v>
      </c>
      <c r="B31" s="74"/>
      <c r="C31" s="74"/>
      <c r="D31" s="74"/>
      <c r="E31" s="68" t="str">
        <f>Baukon_neu[[#This Row],[Variante Nummer]]&amp;". "&amp;Baukon_neu[[#This Row],[Name Baukonstruktion]]&amp;" | " &amp;Baukon_neu[[#This Row],[Variante Name]]</f>
        <v xml:space="preserve">.  | </v>
      </c>
      <c r="F31" s="128" t="str">
        <f>IF(IFERROR(_xlfn.XLOOKUP(Baukon_neu[[#This Row],[ID Baukonstruktion]],Baukon_alle_A1_A3_results[ID Baukonstruktion],Baukon_alle_A1_A3_results[ID Baukonstruktion]),"okay")="okay", "okay","Achtung, id wird bereits verwendet")</f>
        <v>okay</v>
      </c>
      <c r="G31" s="75"/>
      <c r="H31" s="73" t="s">
        <v>244</v>
      </c>
      <c r="I31" s="73" t="s">
        <v>244</v>
      </c>
      <c r="J31" s="74"/>
      <c r="K31" s="68">
        <f>IF(Baukon_neu[[#This Row],[ist Dämmstoff?]]="ja",Baukon_neu[[#This Row],[Dicke '[mm'] Referenz]]+_xlfn.XLOOKUP(RIGHT(Baukon_neu[[#Headers],[Dicke '[mm'] min]],3),Dämmstoffvarianten[Variante],Dämmstoffvarianten[Differenz Dämmstoffedicke zu Referenz '[mm']]),Baukon_neu[[#This Row],[Dicke '[mm'] Referenz]])</f>
        <v>0</v>
      </c>
      <c r="L31" s="68">
        <f>IF(Baukon_neu[[#This Row],[ist Dämmstoff?]]="ja",Baukon_neu[[#This Row],[Dicke '[mm'] Referenz]]+_xlfn.XLOOKUP(RIGHT(Baukon_neu[[#Headers],[Dicke '[mm'] max]],3),Dämmstoffvarianten[Variante],Dämmstoffvarianten[Differenz Dämmstoffedicke zu Referenz '[mm']]),Baukon_neu[[#This Row],[Dicke '[mm'] Referenz]])</f>
        <v>0</v>
      </c>
      <c r="M31" s="76">
        <v>1</v>
      </c>
      <c r="N31" s="75"/>
      <c r="O31" s="69">
        <f>IFERROR(Baukon_neu[[#This Row],[Dicke '[mm'] Referenz]]/1000*Baukon_neu[[#This Row],[Flächenanteil '[%']]],"")</f>
        <v>0</v>
      </c>
      <c r="P31" s="69">
        <f>IFERROR(Baukon_neu[[#This Row],[Dicke '[mm'] min]]/1000*Baukon_neu[[#This Row],[Flächenanteil '[%']]],"")</f>
        <v>0</v>
      </c>
      <c r="Q31" s="69">
        <f>IFERROR(Baukon_neu[[#This Row],[Dicke '[mm'] max]]/1000*Baukon_neu[[#This Row],[Flächenanteil '[%']]],"")</f>
        <v>0</v>
      </c>
      <c r="R31" s="77" t="s">
        <v>226</v>
      </c>
      <c r="S31" s="69" t="str">
        <f>IFERROR(_xlfn.XLOOKUP(Baukon_neu[[#This Row],[Produkt]],LeitRess_Materialien[Name],LeitRess_Materialien[Material_UUID]),"")</f>
        <v>0</v>
      </c>
      <c r="T31" s="69">
        <f>IF(OR(Baukon_neu[[#This Row],[Rohdichte '[kg/m³'], Eingabe ]]="", Baukon_neu[[#This Row],[Rohdichte '[kg/m³'], Eingabe ]]="0"),_xlfn.XLOOKUP(Baukon_neu[[#This Row],[LCA Datensatz]],LeitRess_Materialien[Material_UUID],LeitRess_Materialien[Rohdichte_'[kg/m3']]),Baukon_neu[[#This Row],[Rohdichte '[kg/m³'], Eingabe ]])</f>
        <v>0</v>
      </c>
      <c r="U31" s="69">
        <f>IF(OR(Baukon_neu[[#This Row],[Flächengewicht '[kg/m²'], Eingabe ]]="", Baukon_neu[[#This Row],[Flächengewicht '[kg/m²'], Eingabe ]]="0"),_xlfn.XLOOKUP(Baukon_neu[[#This Row],[LCA Datensatz]],LeitRess_Materialien[Material_UUID],LeitRess_Materialien[Flächengewicht_'[kg/m2']]),Baukon_neu[[#This Row],[Flächengewicht '[kg/m²'], Eingabe ]])</f>
        <v>0</v>
      </c>
      <c r="V31" s="69">
        <f>IF(OR(Baukon_neu[[#This Row],[Längengewicht '[kg/m'], Eingabe ]]="", Baukon_neu[[#This Row],[Längengewicht '[kg/m'], Eingabe ]]="0"),_xlfn.XLOOKUP(Baukon_neu[[#This Row],[LCA Datensatz]],LeitRess_Materialien[Material_UUID],LeitRess_Materialien[Längengewicht_'[kg/m']]),Baukon_neu[[#This Row],[Längengewicht '[kg/m'], Eingabe ]])</f>
        <v>0</v>
      </c>
      <c r="W31" s="69">
        <f>IF(OR(Baukon_neu[[#This Row],[lambda_'[W/mK'], Eingabe ]]="", Baukon_neu[[#This Row],[lambda_'[W/mK'], Eingabe ]]="0"),_xlfn.XLOOKUP(Baukon_neu[[#This Row],[LCA Datensatz]],LeitRess_Materialien[Material_UUID],LeitRess_Materialien[lambda_'[W/mK']]),Baukon_neu[[#This Row],[lambda_'[W/mK'], Eingabe ]])</f>
        <v>0</v>
      </c>
      <c r="X31" s="75"/>
      <c r="Y31" s="75"/>
      <c r="Z31" s="75"/>
      <c r="AA31" s="75"/>
      <c r="AB31" s="69">
        <f>IFERROR(
    IF(Baukon_neu[[#This Row],[Länge '[m/m²']]]*Baukon_neu[[#This Row],[Längengewicht '[kg/m']]]&lt;&gt;0, Baukon_neu[[#This Row],[Länge '[m/m²']]]*Baukon_neu[[#This Row],[Längengewicht '[kg/m']]],
       IF( Baukon_neu[[#This Row],[Volumen '[m³/m²'] Referenz]]*Baukon_neu[[#This Row],[Rohdichte '[kg/m³']]]&lt;&gt;0,
        Baukon_neu[[#This Row],[Volumen '[m³/m²'] Referenz]]*Baukon_neu[[#This Row],[Rohdichte '[kg/m³']]],
                Baukon_neu[[#This Row],[Flächenanteil '[%']]]*Baukon_neu[[#This Row],[Flächengewicht '[kg/m²']]])),"")</f>
        <v>0</v>
      </c>
      <c r="AC31" s="69">
        <f>IFERROR(
    IF(Baukon_neu[[#This Row],[Länge '[m/m²']]]*Baukon_neu[[#This Row],[Längengewicht '[kg/m']]]&lt;&gt;0, Baukon_neu[[#This Row],[Länge '[m/m²']]]*Baukon_neu[[#This Row],[Längengewicht '[kg/m']]],
       IF( Baukon_neu[[#This Row],[Volumen '[m³/m²'] min]]*Baukon_neu[[#This Row],[Rohdichte '[kg/m³']]]&lt;&gt;0,
        Baukon_neu[[#This Row],[Volumen '[m³/m²'] min]]*Baukon_neu[[#This Row],[Rohdichte '[kg/m³']]],
                Baukon_neu[[#This Row],[Flächenanteil '[%']]]*Baukon_neu[[#This Row],[Flächengewicht '[kg/m²']]])),"")</f>
        <v>0</v>
      </c>
      <c r="AD31" s="69">
        <f>IFERROR(
    IF(Baukon_neu[[#This Row],[Länge '[m/m²']]]*Baukon_neu[[#This Row],[Längengewicht '[kg/m']]]&lt;&gt;0, Baukon_neu[[#This Row],[Länge '[m/m²']]]*Baukon_neu[[#This Row],[Längengewicht '[kg/m']]],
       IF( Baukon_neu[[#This Row],[Volumen '[m³/m²'] max]]*Baukon_neu[[#This Row],[Rohdichte '[kg/m³']]]&lt;&gt;0,
        Baukon_neu[[#This Row],[Volumen '[m³/m²'] max]]*Baukon_neu[[#This Row],[Rohdichte '[kg/m³']]],
                Baukon_neu[[#This Row],[Flächenanteil '[%']]]*Baukon_neu[[#This Row],[Flächengewicht '[kg/m²']]])),"")</f>
        <v>0</v>
      </c>
      <c r="AE31" s="69" t="str">
        <f>IFERROR(Baukon_neu[[#This Row],[Dicke '[mm'] Referenz]]/Baukon_neu[[#This Row],[lambda_'[W/mK']]],"")</f>
        <v/>
      </c>
      <c r="AF31" s="70">
        <f>_xlfn.XLOOKUP(Baukon_neu[[#This Row],[LCA Datensatz]],LeitRess_Materialien[Material_UUID],LeitRess_Materialien[RMI '[kg Primärrohstoffe / kg']])*Baukon_neu[[#This Row],[Masse '[kg/m²'] Referenz]]</f>
        <v>0</v>
      </c>
      <c r="AG31" s="70">
        <f>_xlfn.XLOOKUP(Baukon_neu[[#This Row],[LCA Datensatz]],LeitRess_Materialien[Material_UUID],LeitRess_Materialien[RMI '[kg Primärrohstoffe / kg']])*Baukon_neu[[#This Row],[Masse '[kg/m²'] min]]</f>
        <v>0</v>
      </c>
      <c r="AH31" s="70">
        <f>_xlfn.XLOOKUP(Baukon_neu[[#This Row],[LCA Datensatz]],LeitRess_Materialien[Material_UUID],LeitRess_Materialien[RMI '[kg Primärrohstoffe / kg']])*Baukon_neu[[#This Row],[Masse '[kg/m²'] max]]</f>
        <v>0</v>
      </c>
      <c r="AI31" s="70">
        <f>_xlfn.XLOOKUP(Baukon_neu[[#This Row],[LCA Datensatz]],LeitRess_Materialien[Material_UUID],LeitRess_Materialien[TMR '[kg Gesamtmaterialaufwand/kg']])*Baukon_neu[[#This Row],[Masse '[kg/m²'] Referenz]]</f>
        <v>0</v>
      </c>
      <c r="AJ31" s="70">
        <f>_xlfn.XLOOKUP(Baukon_neu[[#This Row],[LCA Datensatz]],LeitRess_Materialien[Material_UUID],LeitRess_Materialien[TMR '[kg Gesamtmaterialaufwand/kg']])*Baukon_neu[[#This Row],[Masse '[kg/m²'] min]]</f>
        <v>0</v>
      </c>
      <c r="AK31" s="70">
        <f>_xlfn.XLOOKUP(Baukon_neu[[#This Row],[LCA Datensatz]],LeitRess_Materialien[Material_UUID],LeitRess_Materialien[TMR '[kg Gesamtmaterialaufwand/kg']])*Baukon_neu[[#This Row],[Masse '[kg/m²'] max]]</f>
        <v>0</v>
      </c>
      <c r="AL31" s="70">
        <f>_xlfn.XLOOKUP(Baukon_neu[[#This Row],[LCA Datensatz]],LeitRess_Materialien[Material_UUID],LeitRess_Materialien[GWP '[kg CO2-Äqu./kg']])*Baukon_neu[[#This Row],[Masse '[kg/m²'] Referenz]]</f>
        <v>0</v>
      </c>
      <c r="AM31" s="70">
        <f>_xlfn.XLOOKUP(Baukon_neu[[#This Row],[LCA Datensatz]],LeitRess_Materialien[Material_UUID],LeitRess_Materialien[GWP '[kg CO2-Äqu./kg']])*Baukon_neu[[#This Row],[Masse '[kg/m²'] min]]</f>
        <v>0</v>
      </c>
      <c r="AN31" s="70">
        <f>_xlfn.XLOOKUP(Baukon_neu[[#This Row],[LCA Datensatz]],LeitRess_Materialien[Material_UUID],LeitRess_Materialien[GWP '[kg CO2-Äqu./kg']])*Baukon_neu[[#This Row],[Masse '[kg/m²'] max]]</f>
        <v>0</v>
      </c>
      <c r="AO31" s="70">
        <f>_xlfn.XLOOKUP(Baukon_neu[[#This Row],[LCA Datensatz]],LeitRess_Materialien[Material_UUID],LeitRess_Materialien[PENRT '[MJ/kg']])*Baukon_neu[[#This Row],[Masse '[kg/m²'] Referenz]]</f>
        <v>0</v>
      </c>
      <c r="AP31" s="70">
        <f>_xlfn.XLOOKUP(Baukon_neu[[#This Row],[LCA Datensatz]],LeitRess_Materialien[Material_UUID],LeitRess_Materialien[PENRT '[MJ/kg']])*Baukon_neu[[#This Row],[Masse '[kg/m²'] min]]</f>
        <v>0</v>
      </c>
      <c r="AQ31" s="70">
        <f>_xlfn.XLOOKUP(Baukon_neu[[#This Row],[LCA Datensatz]],LeitRess_Materialien[Material_UUID],LeitRess_Materialien[PENRT '[MJ/kg']])*Baukon_neu[[#This Row],[Masse '[kg/m²'] max]]</f>
        <v>0</v>
      </c>
      <c r="AR31" s="70" t="e">
        <f>_xlfn.XLOOKUP(Baukon_neu[[#This Row],[LCA Datensatz]],LeitRess_Materialien[Material_UUID],#REF!)*Baukon_neu[[#This Row],[Masse '[kg/m²'] Referenz]]</f>
        <v>#REF!</v>
      </c>
      <c r="AS31" s="70" t="e">
        <f>_xlfn.XLOOKUP(Baukon_neu[[#This Row],[LCA Datensatz]],LeitRess_Materialien[Material_UUID],#REF!)*Baukon_neu[[#This Row],[Masse '[kg/m²'] min]]</f>
        <v>#REF!</v>
      </c>
      <c r="AT31" s="70" t="e">
        <f>_xlfn.XLOOKUP(Baukon_neu[[#This Row],[LCA Datensatz]],LeitRess_Materialien[Material_UUID],#REF!)*Baukon_neu[[#This Row],[Masse '[kg/m²'] max]]</f>
        <v>#REF!</v>
      </c>
      <c r="AU31" s="70">
        <f>_xlfn.XLOOKUP(Baukon_neu[[#This Row],[LCA Datensatz]],LeitRess_Materialien[Material_UUID],LeitRess_Materialien[WDP '[m³ weighted water/kg']])*Baukon_neu[[#This Row],[Masse '[kg/m²'] Referenz]]</f>
        <v>0</v>
      </c>
      <c r="AV31" s="70">
        <f>_xlfn.XLOOKUP(Baukon_neu[[#This Row],[LCA Datensatz]],LeitRess_Materialien[Material_UUID],LeitRess_Materialien[WDP '[m³ weighted water/kg']])*Baukon_neu[[#This Row],[Masse '[kg/m²'] min]]</f>
        <v>0</v>
      </c>
      <c r="AW31" s="70">
        <f>_xlfn.XLOOKUP(Baukon_neu[[#This Row],[LCA Datensatz]],LeitRess_Materialien[Material_UUID],LeitRess_Materialien[WDP '[m³ weighted water/kg']])*Baukon_neu[[#This Row],[Masse '[kg/m²'] max]]</f>
        <v>0</v>
      </c>
      <c r="AX31" s="78">
        <f>Baukon_neu[[#This Row],[GWP '[kg CO2-Äqu./m²'] Referenz]]/'Ausgabe Tabellen'!$C$21+Baukon_neu[[#This Row],[PENRT '[MJ/m²'] Referenz]]/'Ausgabe Tabellen'!$C$22+Baukon_neu[[#This Row],[RMI '[kg Primärrohstoffe/m²'] Referenz]]/'Ausgabe Tabellen'!$C$23+Baukon_neu[[#This Row],[WDP '[m² weighted water/m²'] Referenz]]/'Ausgabe Tabellen'!$C$24</f>
        <v>0</v>
      </c>
      <c r="AY31" s="78">
        <f>Baukon_neu[[#This Row],[GWP '[kg CO2-Äqu./m²'] min]]/'Ausgabe Tabellen'!$C$21+Baukon_neu[[#This Row],[PENRT '[MJ/m²'] min]]/'Ausgabe Tabellen'!$C$22+Baukon_neu[[#This Row],[RMI '[kg Primärrohstoffe/m²'] min]]/'Ausgabe Tabellen'!$C$23+Baukon_neu[[#This Row],[WDP '[m² weighted water/m²'] min]]/'Ausgabe Tabellen'!$C$24</f>
        <v>0</v>
      </c>
      <c r="AZ31" s="78">
        <f>Baukon_neu[[#This Row],[GWP '[kg CO2-Äqu./m²'] max]]/'Ausgabe Tabellen'!$C$21+Baukon_neu[[#This Row],[PENRT '[MJ/m²'] max]]/'Ausgabe Tabellen'!$C$22+Baukon_neu[[#This Row],[RMI '[kg Primärrohstoffe/m²'] max]]/'Ausgabe Tabellen'!$C$23+Baukon_neu[[#This Row],[WDP '[m² weighted water/m²'] max]]/'Ausgabe Tabellen'!$C$24</f>
        <v>0</v>
      </c>
    </row>
    <row r="32" spans="1:52" x14ac:dyDescent="0.65">
      <c r="A32" s="73" t="s">
        <v>244</v>
      </c>
      <c r="B32" s="74"/>
      <c r="C32" s="74"/>
      <c r="D32" s="74"/>
      <c r="E32" s="68" t="str">
        <f>Baukon_neu[[#This Row],[Variante Nummer]]&amp;". "&amp;Baukon_neu[[#This Row],[Name Baukonstruktion]]&amp;" | " &amp;Baukon_neu[[#This Row],[Variante Name]]</f>
        <v xml:space="preserve">.  | </v>
      </c>
      <c r="F32" s="128" t="str">
        <f>IF(IFERROR(_xlfn.XLOOKUP(Baukon_neu[[#This Row],[ID Baukonstruktion]],Baukon_alle_A1_A3_results[ID Baukonstruktion],Baukon_alle_A1_A3_results[ID Baukonstruktion]),"okay")="okay", "okay","Achtung, id wird bereits verwendet")</f>
        <v>okay</v>
      </c>
      <c r="G32" s="75"/>
      <c r="H32" s="73" t="s">
        <v>244</v>
      </c>
      <c r="I32" s="73" t="s">
        <v>244</v>
      </c>
      <c r="J32" s="74"/>
      <c r="K32" s="68">
        <f>IF(Baukon_neu[[#This Row],[ist Dämmstoff?]]="ja",Baukon_neu[[#This Row],[Dicke '[mm'] Referenz]]+_xlfn.XLOOKUP(RIGHT(Baukon_neu[[#Headers],[Dicke '[mm'] min]],3),Dämmstoffvarianten[Variante],Dämmstoffvarianten[Differenz Dämmstoffedicke zu Referenz '[mm']]),Baukon_neu[[#This Row],[Dicke '[mm'] Referenz]])</f>
        <v>0</v>
      </c>
      <c r="L32" s="68">
        <f>IF(Baukon_neu[[#This Row],[ist Dämmstoff?]]="ja",Baukon_neu[[#This Row],[Dicke '[mm'] Referenz]]+_xlfn.XLOOKUP(RIGHT(Baukon_neu[[#Headers],[Dicke '[mm'] max]],3),Dämmstoffvarianten[Variante],Dämmstoffvarianten[Differenz Dämmstoffedicke zu Referenz '[mm']]),Baukon_neu[[#This Row],[Dicke '[mm'] Referenz]])</f>
        <v>0</v>
      </c>
      <c r="M32" s="76">
        <v>1</v>
      </c>
      <c r="N32" s="75"/>
      <c r="O32" s="69">
        <f>IFERROR(Baukon_neu[[#This Row],[Dicke '[mm'] Referenz]]/1000*Baukon_neu[[#This Row],[Flächenanteil '[%']]],"")</f>
        <v>0</v>
      </c>
      <c r="P32" s="69">
        <f>IFERROR(Baukon_neu[[#This Row],[Dicke '[mm'] min]]/1000*Baukon_neu[[#This Row],[Flächenanteil '[%']]],"")</f>
        <v>0</v>
      </c>
      <c r="Q32" s="69">
        <f>IFERROR(Baukon_neu[[#This Row],[Dicke '[mm'] max]]/1000*Baukon_neu[[#This Row],[Flächenanteil '[%']]],"")</f>
        <v>0</v>
      </c>
      <c r="R32" s="77" t="s">
        <v>226</v>
      </c>
      <c r="S32" s="69" t="str">
        <f>IFERROR(_xlfn.XLOOKUP(Baukon_neu[[#This Row],[Produkt]],LeitRess_Materialien[Name],LeitRess_Materialien[Material_UUID]),"")</f>
        <v>0</v>
      </c>
      <c r="T32" s="69">
        <f>IF(OR(Baukon_neu[[#This Row],[Rohdichte '[kg/m³'], Eingabe ]]="", Baukon_neu[[#This Row],[Rohdichte '[kg/m³'], Eingabe ]]="0"),_xlfn.XLOOKUP(Baukon_neu[[#This Row],[LCA Datensatz]],LeitRess_Materialien[Material_UUID],LeitRess_Materialien[Rohdichte_'[kg/m3']]),Baukon_neu[[#This Row],[Rohdichte '[kg/m³'], Eingabe ]])</f>
        <v>0</v>
      </c>
      <c r="U32" s="69">
        <f>IF(OR(Baukon_neu[[#This Row],[Flächengewicht '[kg/m²'], Eingabe ]]="", Baukon_neu[[#This Row],[Flächengewicht '[kg/m²'], Eingabe ]]="0"),_xlfn.XLOOKUP(Baukon_neu[[#This Row],[LCA Datensatz]],LeitRess_Materialien[Material_UUID],LeitRess_Materialien[Flächengewicht_'[kg/m2']]),Baukon_neu[[#This Row],[Flächengewicht '[kg/m²'], Eingabe ]])</f>
        <v>0</v>
      </c>
      <c r="V32" s="69">
        <f>IF(OR(Baukon_neu[[#This Row],[Längengewicht '[kg/m'], Eingabe ]]="", Baukon_neu[[#This Row],[Längengewicht '[kg/m'], Eingabe ]]="0"),_xlfn.XLOOKUP(Baukon_neu[[#This Row],[LCA Datensatz]],LeitRess_Materialien[Material_UUID],LeitRess_Materialien[Längengewicht_'[kg/m']]),Baukon_neu[[#This Row],[Längengewicht '[kg/m'], Eingabe ]])</f>
        <v>0</v>
      </c>
      <c r="W32" s="69">
        <f>IF(OR(Baukon_neu[[#This Row],[lambda_'[W/mK'], Eingabe ]]="", Baukon_neu[[#This Row],[lambda_'[W/mK'], Eingabe ]]="0"),_xlfn.XLOOKUP(Baukon_neu[[#This Row],[LCA Datensatz]],LeitRess_Materialien[Material_UUID],LeitRess_Materialien[lambda_'[W/mK']]),Baukon_neu[[#This Row],[lambda_'[W/mK'], Eingabe ]])</f>
        <v>0</v>
      </c>
      <c r="X32" s="75"/>
      <c r="Y32" s="75"/>
      <c r="Z32" s="75"/>
      <c r="AA32" s="75"/>
      <c r="AB32" s="69">
        <f>IFERROR(
    IF(Baukon_neu[[#This Row],[Länge '[m/m²']]]*Baukon_neu[[#This Row],[Längengewicht '[kg/m']]]&lt;&gt;0, Baukon_neu[[#This Row],[Länge '[m/m²']]]*Baukon_neu[[#This Row],[Längengewicht '[kg/m']]],
       IF( Baukon_neu[[#This Row],[Volumen '[m³/m²'] Referenz]]*Baukon_neu[[#This Row],[Rohdichte '[kg/m³']]]&lt;&gt;0,
        Baukon_neu[[#This Row],[Volumen '[m³/m²'] Referenz]]*Baukon_neu[[#This Row],[Rohdichte '[kg/m³']]],
                Baukon_neu[[#This Row],[Flächenanteil '[%']]]*Baukon_neu[[#This Row],[Flächengewicht '[kg/m²']]])),"")</f>
        <v>0</v>
      </c>
      <c r="AC32" s="69">
        <f>IFERROR(
    IF(Baukon_neu[[#This Row],[Länge '[m/m²']]]*Baukon_neu[[#This Row],[Längengewicht '[kg/m']]]&lt;&gt;0, Baukon_neu[[#This Row],[Länge '[m/m²']]]*Baukon_neu[[#This Row],[Längengewicht '[kg/m']]],
       IF( Baukon_neu[[#This Row],[Volumen '[m³/m²'] min]]*Baukon_neu[[#This Row],[Rohdichte '[kg/m³']]]&lt;&gt;0,
        Baukon_neu[[#This Row],[Volumen '[m³/m²'] min]]*Baukon_neu[[#This Row],[Rohdichte '[kg/m³']]],
                Baukon_neu[[#This Row],[Flächenanteil '[%']]]*Baukon_neu[[#This Row],[Flächengewicht '[kg/m²']]])),"")</f>
        <v>0</v>
      </c>
      <c r="AD32" s="69">
        <f>IFERROR(
    IF(Baukon_neu[[#This Row],[Länge '[m/m²']]]*Baukon_neu[[#This Row],[Längengewicht '[kg/m']]]&lt;&gt;0, Baukon_neu[[#This Row],[Länge '[m/m²']]]*Baukon_neu[[#This Row],[Längengewicht '[kg/m']]],
       IF( Baukon_neu[[#This Row],[Volumen '[m³/m²'] max]]*Baukon_neu[[#This Row],[Rohdichte '[kg/m³']]]&lt;&gt;0,
        Baukon_neu[[#This Row],[Volumen '[m³/m²'] max]]*Baukon_neu[[#This Row],[Rohdichte '[kg/m³']]],
                Baukon_neu[[#This Row],[Flächenanteil '[%']]]*Baukon_neu[[#This Row],[Flächengewicht '[kg/m²']]])),"")</f>
        <v>0</v>
      </c>
      <c r="AE32" s="69" t="str">
        <f>IFERROR(Baukon_neu[[#This Row],[Dicke '[mm'] Referenz]]/Baukon_neu[[#This Row],[lambda_'[W/mK']]],"")</f>
        <v/>
      </c>
      <c r="AF32" s="70">
        <f>_xlfn.XLOOKUP(Baukon_neu[[#This Row],[LCA Datensatz]],LeitRess_Materialien[Material_UUID],LeitRess_Materialien[RMI '[kg Primärrohstoffe / kg']])*Baukon_neu[[#This Row],[Masse '[kg/m²'] Referenz]]</f>
        <v>0</v>
      </c>
      <c r="AG32" s="70">
        <f>_xlfn.XLOOKUP(Baukon_neu[[#This Row],[LCA Datensatz]],LeitRess_Materialien[Material_UUID],LeitRess_Materialien[RMI '[kg Primärrohstoffe / kg']])*Baukon_neu[[#This Row],[Masse '[kg/m²'] min]]</f>
        <v>0</v>
      </c>
      <c r="AH32" s="70">
        <f>_xlfn.XLOOKUP(Baukon_neu[[#This Row],[LCA Datensatz]],LeitRess_Materialien[Material_UUID],LeitRess_Materialien[RMI '[kg Primärrohstoffe / kg']])*Baukon_neu[[#This Row],[Masse '[kg/m²'] max]]</f>
        <v>0</v>
      </c>
      <c r="AI32" s="70">
        <f>_xlfn.XLOOKUP(Baukon_neu[[#This Row],[LCA Datensatz]],LeitRess_Materialien[Material_UUID],LeitRess_Materialien[TMR '[kg Gesamtmaterialaufwand/kg']])*Baukon_neu[[#This Row],[Masse '[kg/m²'] Referenz]]</f>
        <v>0</v>
      </c>
      <c r="AJ32" s="70">
        <f>_xlfn.XLOOKUP(Baukon_neu[[#This Row],[LCA Datensatz]],LeitRess_Materialien[Material_UUID],LeitRess_Materialien[TMR '[kg Gesamtmaterialaufwand/kg']])*Baukon_neu[[#This Row],[Masse '[kg/m²'] min]]</f>
        <v>0</v>
      </c>
      <c r="AK32" s="70">
        <f>_xlfn.XLOOKUP(Baukon_neu[[#This Row],[LCA Datensatz]],LeitRess_Materialien[Material_UUID],LeitRess_Materialien[TMR '[kg Gesamtmaterialaufwand/kg']])*Baukon_neu[[#This Row],[Masse '[kg/m²'] max]]</f>
        <v>0</v>
      </c>
      <c r="AL32" s="70">
        <f>_xlfn.XLOOKUP(Baukon_neu[[#This Row],[LCA Datensatz]],LeitRess_Materialien[Material_UUID],LeitRess_Materialien[GWP '[kg CO2-Äqu./kg']])*Baukon_neu[[#This Row],[Masse '[kg/m²'] Referenz]]</f>
        <v>0</v>
      </c>
      <c r="AM32" s="70">
        <f>_xlfn.XLOOKUP(Baukon_neu[[#This Row],[LCA Datensatz]],LeitRess_Materialien[Material_UUID],LeitRess_Materialien[GWP '[kg CO2-Äqu./kg']])*Baukon_neu[[#This Row],[Masse '[kg/m²'] min]]</f>
        <v>0</v>
      </c>
      <c r="AN32" s="70">
        <f>_xlfn.XLOOKUP(Baukon_neu[[#This Row],[LCA Datensatz]],LeitRess_Materialien[Material_UUID],LeitRess_Materialien[GWP '[kg CO2-Äqu./kg']])*Baukon_neu[[#This Row],[Masse '[kg/m²'] max]]</f>
        <v>0</v>
      </c>
      <c r="AO32" s="70">
        <f>_xlfn.XLOOKUP(Baukon_neu[[#This Row],[LCA Datensatz]],LeitRess_Materialien[Material_UUID],LeitRess_Materialien[PENRT '[MJ/kg']])*Baukon_neu[[#This Row],[Masse '[kg/m²'] Referenz]]</f>
        <v>0</v>
      </c>
      <c r="AP32" s="70">
        <f>_xlfn.XLOOKUP(Baukon_neu[[#This Row],[LCA Datensatz]],LeitRess_Materialien[Material_UUID],LeitRess_Materialien[PENRT '[MJ/kg']])*Baukon_neu[[#This Row],[Masse '[kg/m²'] min]]</f>
        <v>0</v>
      </c>
      <c r="AQ32" s="70">
        <f>_xlfn.XLOOKUP(Baukon_neu[[#This Row],[LCA Datensatz]],LeitRess_Materialien[Material_UUID],LeitRess_Materialien[PENRT '[MJ/kg']])*Baukon_neu[[#This Row],[Masse '[kg/m²'] max]]</f>
        <v>0</v>
      </c>
      <c r="AR32" s="70" t="e">
        <f>_xlfn.XLOOKUP(Baukon_neu[[#This Row],[LCA Datensatz]],LeitRess_Materialien[Material_UUID],#REF!)*Baukon_neu[[#This Row],[Masse '[kg/m²'] Referenz]]</f>
        <v>#REF!</v>
      </c>
      <c r="AS32" s="70" t="e">
        <f>_xlfn.XLOOKUP(Baukon_neu[[#This Row],[LCA Datensatz]],LeitRess_Materialien[Material_UUID],#REF!)*Baukon_neu[[#This Row],[Masse '[kg/m²'] min]]</f>
        <v>#REF!</v>
      </c>
      <c r="AT32" s="70" t="e">
        <f>_xlfn.XLOOKUP(Baukon_neu[[#This Row],[LCA Datensatz]],LeitRess_Materialien[Material_UUID],#REF!)*Baukon_neu[[#This Row],[Masse '[kg/m²'] max]]</f>
        <v>#REF!</v>
      </c>
      <c r="AU32" s="70">
        <f>_xlfn.XLOOKUP(Baukon_neu[[#This Row],[LCA Datensatz]],LeitRess_Materialien[Material_UUID],LeitRess_Materialien[WDP '[m³ weighted water/kg']])*Baukon_neu[[#This Row],[Masse '[kg/m²'] Referenz]]</f>
        <v>0</v>
      </c>
      <c r="AV32" s="70">
        <f>_xlfn.XLOOKUP(Baukon_neu[[#This Row],[LCA Datensatz]],LeitRess_Materialien[Material_UUID],LeitRess_Materialien[WDP '[m³ weighted water/kg']])*Baukon_neu[[#This Row],[Masse '[kg/m²'] min]]</f>
        <v>0</v>
      </c>
      <c r="AW32" s="70">
        <f>_xlfn.XLOOKUP(Baukon_neu[[#This Row],[LCA Datensatz]],LeitRess_Materialien[Material_UUID],LeitRess_Materialien[WDP '[m³ weighted water/kg']])*Baukon_neu[[#This Row],[Masse '[kg/m²'] max]]</f>
        <v>0</v>
      </c>
      <c r="AX32" s="78">
        <f>Baukon_neu[[#This Row],[GWP '[kg CO2-Äqu./m²'] Referenz]]/'Ausgabe Tabellen'!$C$21+Baukon_neu[[#This Row],[PENRT '[MJ/m²'] Referenz]]/'Ausgabe Tabellen'!$C$22+Baukon_neu[[#This Row],[RMI '[kg Primärrohstoffe/m²'] Referenz]]/'Ausgabe Tabellen'!$C$23+Baukon_neu[[#This Row],[WDP '[m² weighted water/m²'] Referenz]]/'Ausgabe Tabellen'!$C$24</f>
        <v>0</v>
      </c>
      <c r="AY32" s="78">
        <f>Baukon_neu[[#This Row],[GWP '[kg CO2-Äqu./m²'] min]]/'Ausgabe Tabellen'!$C$21+Baukon_neu[[#This Row],[PENRT '[MJ/m²'] min]]/'Ausgabe Tabellen'!$C$22+Baukon_neu[[#This Row],[RMI '[kg Primärrohstoffe/m²'] min]]/'Ausgabe Tabellen'!$C$23+Baukon_neu[[#This Row],[WDP '[m² weighted water/m²'] min]]/'Ausgabe Tabellen'!$C$24</f>
        <v>0</v>
      </c>
      <c r="AZ32" s="78">
        <f>Baukon_neu[[#This Row],[GWP '[kg CO2-Äqu./m²'] max]]/'Ausgabe Tabellen'!$C$21+Baukon_neu[[#This Row],[PENRT '[MJ/m²'] max]]/'Ausgabe Tabellen'!$C$22+Baukon_neu[[#This Row],[RMI '[kg Primärrohstoffe/m²'] max]]/'Ausgabe Tabellen'!$C$23+Baukon_neu[[#This Row],[WDP '[m² weighted water/m²'] max]]/'Ausgabe Tabellen'!$C$24</f>
        <v>0</v>
      </c>
    </row>
    <row r="33" spans="1:52" x14ac:dyDescent="0.65">
      <c r="A33" s="73" t="s">
        <v>244</v>
      </c>
      <c r="B33" s="74"/>
      <c r="C33" s="74"/>
      <c r="D33" s="74"/>
      <c r="E33" s="68" t="str">
        <f>Baukon_neu[[#This Row],[Variante Nummer]]&amp;". "&amp;Baukon_neu[[#This Row],[Name Baukonstruktion]]&amp;" | " &amp;Baukon_neu[[#This Row],[Variante Name]]</f>
        <v xml:space="preserve">.  | </v>
      </c>
      <c r="F33" s="128" t="str">
        <f>IF(IFERROR(_xlfn.XLOOKUP(Baukon_neu[[#This Row],[ID Baukonstruktion]],Baukon_alle_A1_A3_results[ID Baukonstruktion],Baukon_alle_A1_A3_results[ID Baukonstruktion]),"okay")="okay", "okay","Achtung, id wird bereits verwendet")</f>
        <v>okay</v>
      </c>
      <c r="G33" s="75"/>
      <c r="H33" s="73" t="s">
        <v>244</v>
      </c>
      <c r="I33" s="73" t="s">
        <v>244</v>
      </c>
      <c r="J33" s="74"/>
      <c r="K33" s="68">
        <f>IF(Baukon_neu[[#This Row],[ist Dämmstoff?]]="ja",Baukon_neu[[#This Row],[Dicke '[mm'] Referenz]]+_xlfn.XLOOKUP(RIGHT(Baukon_neu[[#Headers],[Dicke '[mm'] min]],3),Dämmstoffvarianten[Variante],Dämmstoffvarianten[Differenz Dämmstoffedicke zu Referenz '[mm']]),Baukon_neu[[#This Row],[Dicke '[mm'] Referenz]])</f>
        <v>0</v>
      </c>
      <c r="L33" s="68">
        <f>IF(Baukon_neu[[#This Row],[ist Dämmstoff?]]="ja",Baukon_neu[[#This Row],[Dicke '[mm'] Referenz]]+_xlfn.XLOOKUP(RIGHT(Baukon_neu[[#Headers],[Dicke '[mm'] max]],3),Dämmstoffvarianten[Variante],Dämmstoffvarianten[Differenz Dämmstoffedicke zu Referenz '[mm']]),Baukon_neu[[#This Row],[Dicke '[mm'] Referenz]])</f>
        <v>0</v>
      </c>
      <c r="M33" s="76">
        <v>1</v>
      </c>
      <c r="N33" s="75"/>
      <c r="O33" s="69">
        <f>IFERROR(Baukon_neu[[#This Row],[Dicke '[mm'] Referenz]]/1000*Baukon_neu[[#This Row],[Flächenanteil '[%']]],"")</f>
        <v>0</v>
      </c>
      <c r="P33" s="69">
        <f>IFERROR(Baukon_neu[[#This Row],[Dicke '[mm'] min]]/1000*Baukon_neu[[#This Row],[Flächenanteil '[%']]],"")</f>
        <v>0</v>
      </c>
      <c r="Q33" s="69">
        <f>IFERROR(Baukon_neu[[#This Row],[Dicke '[mm'] max]]/1000*Baukon_neu[[#This Row],[Flächenanteil '[%']]],"")</f>
        <v>0</v>
      </c>
      <c r="R33" s="77" t="s">
        <v>226</v>
      </c>
      <c r="S33" s="69" t="str">
        <f>IFERROR(_xlfn.XLOOKUP(Baukon_neu[[#This Row],[Produkt]],LeitRess_Materialien[Name],LeitRess_Materialien[Material_UUID]),"")</f>
        <v>0</v>
      </c>
      <c r="T33" s="69">
        <f>IF(OR(Baukon_neu[[#This Row],[Rohdichte '[kg/m³'], Eingabe ]]="", Baukon_neu[[#This Row],[Rohdichte '[kg/m³'], Eingabe ]]="0"),_xlfn.XLOOKUP(Baukon_neu[[#This Row],[LCA Datensatz]],LeitRess_Materialien[Material_UUID],LeitRess_Materialien[Rohdichte_'[kg/m3']]),Baukon_neu[[#This Row],[Rohdichte '[kg/m³'], Eingabe ]])</f>
        <v>0</v>
      </c>
      <c r="U33" s="69">
        <f>IF(OR(Baukon_neu[[#This Row],[Flächengewicht '[kg/m²'], Eingabe ]]="", Baukon_neu[[#This Row],[Flächengewicht '[kg/m²'], Eingabe ]]="0"),_xlfn.XLOOKUP(Baukon_neu[[#This Row],[LCA Datensatz]],LeitRess_Materialien[Material_UUID],LeitRess_Materialien[Flächengewicht_'[kg/m2']]),Baukon_neu[[#This Row],[Flächengewicht '[kg/m²'], Eingabe ]])</f>
        <v>0</v>
      </c>
      <c r="V33" s="69">
        <f>IF(OR(Baukon_neu[[#This Row],[Längengewicht '[kg/m'], Eingabe ]]="", Baukon_neu[[#This Row],[Längengewicht '[kg/m'], Eingabe ]]="0"),_xlfn.XLOOKUP(Baukon_neu[[#This Row],[LCA Datensatz]],LeitRess_Materialien[Material_UUID],LeitRess_Materialien[Längengewicht_'[kg/m']]),Baukon_neu[[#This Row],[Längengewicht '[kg/m'], Eingabe ]])</f>
        <v>0</v>
      </c>
      <c r="W33" s="69">
        <f>IF(OR(Baukon_neu[[#This Row],[lambda_'[W/mK'], Eingabe ]]="", Baukon_neu[[#This Row],[lambda_'[W/mK'], Eingabe ]]="0"),_xlfn.XLOOKUP(Baukon_neu[[#This Row],[LCA Datensatz]],LeitRess_Materialien[Material_UUID],LeitRess_Materialien[lambda_'[W/mK']]),Baukon_neu[[#This Row],[lambda_'[W/mK'], Eingabe ]])</f>
        <v>0</v>
      </c>
      <c r="X33" s="75"/>
      <c r="Y33" s="75"/>
      <c r="Z33" s="75"/>
      <c r="AA33" s="75"/>
      <c r="AB33" s="69">
        <f>IFERROR(
    IF(Baukon_neu[[#This Row],[Länge '[m/m²']]]*Baukon_neu[[#This Row],[Längengewicht '[kg/m']]]&lt;&gt;0, Baukon_neu[[#This Row],[Länge '[m/m²']]]*Baukon_neu[[#This Row],[Längengewicht '[kg/m']]],
       IF( Baukon_neu[[#This Row],[Volumen '[m³/m²'] Referenz]]*Baukon_neu[[#This Row],[Rohdichte '[kg/m³']]]&lt;&gt;0,
        Baukon_neu[[#This Row],[Volumen '[m³/m²'] Referenz]]*Baukon_neu[[#This Row],[Rohdichte '[kg/m³']]],
                Baukon_neu[[#This Row],[Flächenanteil '[%']]]*Baukon_neu[[#This Row],[Flächengewicht '[kg/m²']]])),"")</f>
        <v>0</v>
      </c>
      <c r="AC33" s="69">
        <f>IFERROR(
    IF(Baukon_neu[[#This Row],[Länge '[m/m²']]]*Baukon_neu[[#This Row],[Längengewicht '[kg/m']]]&lt;&gt;0, Baukon_neu[[#This Row],[Länge '[m/m²']]]*Baukon_neu[[#This Row],[Längengewicht '[kg/m']]],
       IF( Baukon_neu[[#This Row],[Volumen '[m³/m²'] min]]*Baukon_neu[[#This Row],[Rohdichte '[kg/m³']]]&lt;&gt;0,
        Baukon_neu[[#This Row],[Volumen '[m³/m²'] min]]*Baukon_neu[[#This Row],[Rohdichte '[kg/m³']]],
                Baukon_neu[[#This Row],[Flächenanteil '[%']]]*Baukon_neu[[#This Row],[Flächengewicht '[kg/m²']]])),"")</f>
        <v>0</v>
      </c>
      <c r="AD33" s="69">
        <f>IFERROR(
    IF(Baukon_neu[[#This Row],[Länge '[m/m²']]]*Baukon_neu[[#This Row],[Längengewicht '[kg/m']]]&lt;&gt;0, Baukon_neu[[#This Row],[Länge '[m/m²']]]*Baukon_neu[[#This Row],[Längengewicht '[kg/m']]],
       IF( Baukon_neu[[#This Row],[Volumen '[m³/m²'] max]]*Baukon_neu[[#This Row],[Rohdichte '[kg/m³']]]&lt;&gt;0,
        Baukon_neu[[#This Row],[Volumen '[m³/m²'] max]]*Baukon_neu[[#This Row],[Rohdichte '[kg/m³']]],
                Baukon_neu[[#This Row],[Flächenanteil '[%']]]*Baukon_neu[[#This Row],[Flächengewicht '[kg/m²']]])),"")</f>
        <v>0</v>
      </c>
      <c r="AE33" s="69" t="str">
        <f>IFERROR(Baukon_neu[[#This Row],[Dicke '[mm'] Referenz]]/Baukon_neu[[#This Row],[lambda_'[W/mK']]],"")</f>
        <v/>
      </c>
      <c r="AF33" s="70">
        <f>_xlfn.XLOOKUP(Baukon_neu[[#This Row],[LCA Datensatz]],LeitRess_Materialien[Material_UUID],LeitRess_Materialien[RMI '[kg Primärrohstoffe / kg']])*Baukon_neu[[#This Row],[Masse '[kg/m²'] Referenz]]</f>
        <v>0</v>
      </c>
      <c r="AG33" s="70">
        <f>_xlfn.XLOOKUP(Baukon_neu[[#This Row],[LCA Datensatz]],LeitRess_Materialien[Material_UUID],LeitRess_Materialien[RMI '[kg Primärrohstoffe / kg']])*Baukon_neu[[#This Row],[Masse '[kg/m²'] min]]</f>
        <v>0</v>
      </c>
      <c r="AH33" s="70">
        <f>_xlfn.XLOOKUP(Baukon_neu[[#This Row],[LCA Datensatz]],LeitRess_Materialien[Material_UUID],LeitRess_Materialien[RMI '[kg Primärrohstoffe / kg']])*Baukon_neu[[#This Row],[Masse '[kg/m²'] max]]</f>
        <v>0</v>
      </c>
      <c r="AI33" s="70">
        <f>_xlfn.XLOOKUP(Baukon_neu[[#This Row],[LCA Datensatz]],LeitRess_Materialien[Material_UUID],LeitRess_Materialien[TMR '[kg Gesamtmaterialaufwand/kg']])*Baukon_neu[[#This Row],[Masse '[kg/m²'] Referenz]]</f>
        <v>0</v>
      </c>
      <c r="AJ33" s="70">
        <f>_xlfn.XLOOKUP(Baukon_neu[[#This Row],[LCA Datensatz]],LeitRess_Materialien[Material_UUID],LeitRess_Materialien[TMR '[kg Gesamtmaterialaufwand/kg']])*Baukon_neu[[#This Row],[Masse '[kg/m²'] min]]</f>
        <v>0</v>
      </c>
      <c r="AK33" s="70">
        <f>_xlfn.XLOOKUP(Baukon_neu[[#This Row],[LCA Datensatz]],LeitRess_Materialien[Material_UUID],LeitRess_Materialien[TMR '[kg Gesamtmaterialaufwand/kg']])*Baukon_neu[[#This Row],[Masse '[kg/m²'] max]]</f>
        <v>0</v>
      </c>
      <c r="AL33" s="70">
        <f>_xlfn.XLOOKUP(Baukon_neu[[#This Row],[LCA Datensatz]],LeitRess_Materialien[Material_UUID],LeitRess_Materialien[GWP '[kg CO2-Äqu./kg']])*Baukon_neu[[#This Row],[Masse '[kg/m²'] Referenz]]</f>
        <v>0</v>
      </c>
      <c r="AM33" s="70">
        <f>_xlfn.XLOOKUP(Baukon_neu[[#This Row],[LCA Datensatz]],LeitRess_Materialien[Material_UUID],LeitRess_Materialien[GWP '[kg CO2-Äqu./kg']])*Baukon_neu[[#This Row],[Masse '[kg/m²'] min]]</f>
        <v>0</v>
      </c>
      <c r="AN33" s="70">
        <f>_xlfn.XLOOKUP(Baukon_neu[[#This Row],[LCA Datensatz]],LeitRess_Materialien[Material_UUID],LeitRess_Materialien[GWP '[kg CO2-Äqu./kg']])*Baukon_neu[[#This Row],[Masse '[kg/m²'] max]]</f>
        <v>0</v>
      </c>
      <c r="AO33" s="70">
        <f>_xlfn.XLOOKUP(Baukon_neu[[#This Row],[LCA Datensatz]],LeitRess_Materialien[Material_UUID],LeitRess_Materialien[PENRT '[MJ/kg']])*Baukon_neu[[#This Row],[Masse '[kg/m²'] Referenz]]</f>
        <v>0</v>
      </c>
      <c r="AP33" s="70">
        <f>_xlfn.XLOOKUP(Baukon_neu[[#This Row],[LCA Datensatz]],LeitRess_Materialien[Material_UUID],LeitRess_Materialien[PENRT '[MJ/kg']])*Baukon_neu[[#This Row],[Masse '[kg/m²'] min]]</f>
        <v>0</v>
      </c>
      <c r="AQ33" s="70">
        <f>_xlfn.XLOOKUP(Baukon_neu[[#This Row],[LCA Datensatz]],LeitRess_Materialien[Material_UUID],LeitRess_Materialien[PENRT '[MJ/kg']])*Baukon_neu[[#This Row],[Masse '[kg/m²'] max]]</f>
        <v>0</v>
      </c>
      <c r="AR33" s="70" t="e">
        <f>_xlfn.XLOOKUP(Baukon_neu[[#This Row],[LCA Datensatz]],LeitRess_Materialien[Material_UUID],#REF!)*Baukon_neu[[#This Row],[Masse '[kg/m²'] Referenz]]</f>
        <v>#REF!</v>
      </c>
      <c r="AS33" s="70" t="e">
        <f>_xlfn.XLOOKUP(Baukon_neu[[#This Row],[LCA Datensatz]],LeitRess_Materialien[Material_UUID],#REF!)*Baukon_neu[[#This Row],[Masse '[kg/m²'] min]]</f>
        <v>#REF!</v>
      </c>
      <c r="AT33" s="70" t="e">
        <f>_xlfn.XLOOKUP(Baukon_neu[[#This Row],[LCA Datensatz]],LeitRess_Materialien[Material_UUID],#REF!)*Baukon_neu[[#This Row],[Masse '[kg/m²'] max]]</f>
        <v>#REF!</v>
      </c>
      <c r="AU33" s="70">
        <f>_xlfn.XLOOKUP(Baukon_neu[[#This Row],[LCA Datensatz]],LeitRess_Materialien[Material_UUID],LeitRess_Materialien[WDP '[m³ weighted water/kg']])*Baukon_neu[[#This Row],[Masse '[kg/m²'] Referenz]]</f>
        <v>0</v>
      </c>
      <c r="AV33" s="70">
        <f>_xlfn.XLOOKUP(Baukon_neu[[#This Row],[LCA Datensatz]],LeitRess_Materialien[Material_UUID],LeitRess_Materialien[WDP '[m³ weighted water/kg']])*Baukon_neu[[#This Row],[Masse '[kg/m²'] min]]</f>
        <v>0</v>
      </c>
      <c r="AW33" s="70">
        <f>_xlfn.XLOOKUP(Baukon_neu[[#This Row],[LCA Datensatz]],LeitRess_Materialien[Material_UUID],LeitRess_Materialien[WDP '[m³ weighted water/kg']])*Baukon_neu[[#This Row],[Masse '[kg/m²'] max]]</f>
        <v>0</v>
      </c>
      <c r="AX33" s="78">
        <f>Baukon_neu[[#This Row],[GWP '[kg CO2-Äqu./m²'] Referenz]]/'Ausgabe Tabellen'!$C$21+Baukon_neu[[#This Row],[PENRT '[MJ/m²'] Referenz]]/'Ausgabe Tabellen'!$C$22+Baukon_neu[[#This Row],[RMI '[kg Primärrohstoffe/m²'] Referenz]]/'Ausgabe Tabellen'!$C$23+Baukon_neu[[#This Row],[WDP '[m² weighted water/m²'] Referenz]]/'Ausgabe Tabellen'!$C$24</f>
        <v>0</v>
      </c>
      <c r="AY33" s="78">
        <f>Baukon_neu[[#This Row],[GWP '[kg CO2-Äqu./m²'] min]]/'Ausgabe Tabellen'!$C$21+Baukon_neu[[#This Row],[PENRT '[MJ/m²'] min]]/'Ausgabe Tabellen'!$C$22+Baukon_neu[[#This Row],[RMI '[kg Primärrohstoffe/m²'] min]]/'Ausgabe Tabellen'!$C$23+Baukon_neu[[#This Row],[WDP '[m² weighted water/m²'] min]]/'Ausgabe Tabellen'!$C$24</f>
        <v>0</v>
      </c>
      <c r="AZ33" s="78">
        <f>Baukon_neu[[#This Row],[GWP '[kg CO2-Äqu./m²'] max]]/'Ausgabe Tabellen'!$C$21+Baukon_neu[[#This Row],[PENRT '[MJ/m²'] max]]/'Ausgabe Tabellen'!$C$22+Baukon_neu[[#This Row],[RMI '[kg Primärrohstoffe/m²'] max]]/'Ausgabe Tabellen'!$C$23+Baukon_neu[[#This Row],[WDP '[m² weighted water/m²'] max]]/'Ausgabe Tabellen'!$C$24</f>
        <v>0</v>
      </c>
    </row>
    <row r="34" spans="1:52" x14ac:dyDescent="0.65">
      <c r="A34" s="73" t="s">
        <v>244</v>
      </c>
      <c r="B34" s="74"/>
      <c r="C34" s="74"/>
      <c r="D34" s="74"/>
      <c r="E34" s="68" t="str">
        <f>Baukon_neu[[#This Row],[Variante Nummer]]&amp;". "&amp;Baukon_neu[[#This Row],[Name Baukonstruktion]]&amp;" | " &amp;Baukon_neu[[#This Row],[Variante Name]]</f>
        <v xml:space="preserve">.  | </v>
      </c>
      <c r="F34" s="128" t="str">
        <f>IF(IFERROR(_xlfn.XLOOKUP(Baukon_neu[[#This Row],[ID Baukonstruktion]],Baukon_alle_A1_A3_results[ID Baukonstruktion],Baukon_alle_A1_A3_results[ID Baukonstruktion]),"okay")="okay", "okay","Achtung, id wird bereits verwendet")</f>
        <v>okay</v>
      </c>
      <c r="G34" s="75"/>
      <c r="H34" s="73" t="s">
        <v>244</v>
      </c>
      <c r="I34" s="73" t="s">
        <v>244</v>
      </c>
      <c r="J34" s="74"/>
      <c r="K34" s="68">
        <f>IF(Baukon_neu[[#This Row],[ist Dämmstoff?]]="ja",Baukon_neu[[#This Row],[Dicke '[mm'] Referenz]]+_xlfn.XLOOKUP(RIGHT(Baukon_neu[[#Headers],[Dicke '[mm'] min]],3),Dämmstoffvarianten[Variante],Dämmstoffvarianten[Differenz Dämmstoffedicke zu Referenz '[mm']]),Baukon_neu[[#This Row],[Dicke '[mm'] Referenz]])</f>
        <v>0</v>
      </c>
      <c r="L34" s="68">
        <f>IF(Baukon_neu[[#This Row],[ist Dämmstoff?]]="ja",Baukon_neu[[#This Row],[Dicke '[mm'] Referenz]]+_xlfn.XLOOKUP(RIGHT(Baukon_neu[[#Headers],[Dicke '[mm'] max]],3),Dämmstoffvarianten[Variante],Dämmstoffvarianten[Differenz Dämmstoffedicke zu Referenz '[mm']]),Baukon_neu[[#This Row],[Dicke '[mm'] Referenz]])</f>
        <v>0</v>
      </c>
      <c r="M34" s="76">
        <v>1</v>
      </c>
      <c r="N34" s="75"/>
      <c r="O34" s="69">
        <f>IFERROR(Baukon_neu[[#This Row],[Dicke '[mm'] Referenz]]/1000*Baukon_neu[[#This Row],[Flächenanteil '[%']]],"")</f>
        <v>0</v>
      </c>
      <c r="P34" s="69">
        <f>IFERROR(Baukon_neu[[#This Row],[Dicke '[mm'] min]]/1000*Baukon_neu[[#This Row],[Flächenanteil '[%']]],"")</f>
        <v>0</v>
      </c>
      <c r="Q34" s="69">
        <f>IFERROR(Baukon_neu[[#This Row],[Dicke '[mm'] max]]/1000*Baukon_neu[[#This Row],[Flächenanteil '[%']]],"")</f>
        <v>0</v>
      </c>
      <c r="R34" s="77" t="s">
        <v>226</v>
      </c>
      <c r="S34" s="69" t="str">
        <f>IFERROR(_xlfn.XLOOKUP(Baukon_neu[[#This Row],[Produkt]],LeitRess_Materialien[Name],LeitRess_Materialien[Material_UUID]),"")</f>
        <v>0</v>
      </c>
      <c r="T34" s="69">
        <f>IF(OR(Baukon_neu[[#This Row],[Rohdichte '[kg/m³'], Eingabe ]]="", Baukon_neu[[#This Row],[Rohdichte '[kg/m³'], Eingabe ]]="0"),_xlfn.XLOOKUP(Baukon_neu[[#This Row],[LCA Datensatz]],LeitRess_Materialien[Material_UUID],LeitRess_Materialien[Rohdichte_'[kg/m3']]),Baukon_neu[[#This Row],[Rohdichte '[kg/m³'], Eingabe ]])</f>
        <v>0</v>
      </c>
      <c r="U34" s="69">
        <f>IF(OR(Baukon_neu[[#This Row],[Flächengewicht '[kg/m²'], Eingabe ]]="", Baukon_neu[[#This Row],[Flächengewicht '[kg/m²'], Eingabe ]]="0"),_xlfn.XLOOKUP(Baukon_neu[[#This Row],[LCA Datensatz]],LeitRess_Materialien[Material_UUID],LeitRess_Materialien[Flächengewicht_'[kg/m2']]),Baukon_neu[[#This Row],[Flächengewicht '[kg/m²'], Eingabe ]])</f>
        <v>0</v>
      </c>
      <c r="V34" s="69">
        <f>IF(OR(Baukon_neu[[#This Row],[Längengewicht '[kg/m'], Eingabe ]]="", Baukon_neu[[#This Row],[Längengewicht '[kg/m'], Eingabe ]]="0"),_xlfn.XLOOKUP(Baukon_neu[[#This Row],[LCA Datensatz]],LeitRess_Materialien[Material_UUID],LeitRess_Materialien[Längengewicht_'[kg/m']]),Baukon_neu[[#This Row],[Längengewicht '[kg/m'], Eingabe ]])</f>
        <v>0</v>
      </c>
      <c r="W34" s="69">
        <f>IF(OR(Baukon_neu[[#This Row],[lambda_'[W/mK'], Eingabe ]]="", Baukon_neu[[#This Row],[lambda_'[W/mK'], Eingabe ]]="0"),_xlfn.XLOOKUP(Baukon_neu[[#This Row],[LCA Datensatz]],LeitRess_Materialien[Material_UUID],LeitRess_Materialien[lambda_'[W/mK']]),Baukon_neu[[#This Row],[lambda_'[W/mK'], Eingabe ]])</f>
        <v>0</v>
      </c>
      <c r="X34" s="75"/>
      <c r="Y34" s="75"/>
      <c r="Z34" s="75"/>
      <c r="AA34" s="75"/>
      <c r="AB34" s="69">
        <f>IFERROR(
    IF(Baukon_neu[[#This Row],[Länge '[m/m²']]]*Baukon_neu[[#This Row],[Längengewicht '[kg/m']]]&lt;&gt;0, Baukon_neu[[#This Row],[Länge '[m/m²']]]*Baukon_neu[[#This Row],[Längengewicht '[kg/m']]],
       IF( Baukon_neu[[#This Row],[Volumen '[m³/m²'] Referenz]]*Baukon_neu[[#This Row],[Rohdichte '[kg/m³']]]&lt;&gt;0,
        Baukon_neu[[#This Row],[Volumen '[m³/m²'] Referenz]]*Baukon_neu[[#This Row],[Rohdichte '[kg/m³']]],
                Baukon_neu[[#This Row],[Flächenanteil '[%']]]*Baukon_neu[[#This Row],[Flächengewicht '[kg/m²']]])),"")</f>
        <v>0</v>
      </c>
      <c r="AC34" s="69">
        <f>IFERROR(
    IF(Baukon_neu[[#This Row],[Länge '[m/m²']]]*Baukon_neu[[#This Row],[Längengewicht '[kg/m']]]&lt;&gt;0, Baukon_neu[[#This Row],[Länge '[m/m²']]]*Baukon_neu[[#This Row],[Längengewicht '[kg/m']]],
       IF( Baukon_neu[[#This Row],[Volumen '[m³/m²'] min]]*Baukon_neu[[#This Row],[Rohdichte '[kg/m³']]]&lt;&gt;0,
        Baukon_neu[[#This Row],[Volumen '[m³/m²'] min]]*Baukon_neu[[#This Row],[Rohdichte '[kg/m³']]],
                Baukon_neu[[#This Row],[Flächenanteil '[%']]]*Baukon_neu[[#This Row],[Flächengewicht '[kg/m²']]])),"")</f>
        <v>0</v>
      </c>
      <c r="AD34" s="69">
        <f>IFERROR(
    IF(Baukon_neu[[#This Row],[Länge '[m/m²']]]*Baukon_neu[[#This Row],[Längengewicht '[kg/m']]]&lt;&gt;0, Baukon_neu[[#This Row],[Länge '[m/m²']]]*Baukon_neu[[#This Row],[Längengewicht '[kg/m']]],
       IF( Baukon_neu[[#This Row],[Volumen '[m³/m²'] max]]*Baukon_neu[[#This Row],[Rohdichte '[kg/m³']]]&lt;&gt;0,
        Baukon_neu[[#This Row],[Volumen '[m³/m²'] max]]*Baukon_neu[[#This Row],[Rohdichte '[kg/m³']]],
                Baukon_neu[[#This Row],[Flächenanteil '[%']]]*Baukon_neu[[#This Row],[Flächengewicht '[kg/m²']]])),"")</f>
        <v>0</v>
      </c>
      <c r="AE34" s="69" t="str">
        <f>IFERROR(Baukon_neu[[#This Row],[Dicke '[mm'] Referenz]]/Baukon_neu[[#This Row],[lambda_'[W/mK']]],"")</f>
        <v/>
      </c>
      <c r="AF34" s="70">
        <f>_xlfn.XLOOKUP(Baukon_neu[[#This Row],[LCA Datensatz]],LeitRess_Materialien[Material_UUID],LeitRess_Materialien[RMI '[kg Primärrohstoffe / kg']])*Baukon_neu[[#This Row],[Masse '[kg/m²'] Referenz]]</f>
        <v>0</v>
      </c>
      <c r="AG34" s="70">
        <f>_xlfn.XLOOKUP(Baukon_neu[[#This Row],[LCA Datensatz]],LeitRess_Materialien[Material_UUID],LeitRess_Materialien[RMI '[kg Primärrohstoffe / kg']])*Baukon_neu[[#This Row],[Masse '[kg/m²'] min]]</f>
        <v>0</v>
      </c>
      <c r="AH34" s="70">
        <f>_xlfn.XLOOKUP(Baukon_neu[[#This Row],[LCA Datensatz]],LeitRess_Materialien[Material_UUID],LeitRess_Materialien[RMI '[kg Primärrohstoffe / kg']])*Baukon_neu[[#This Row],[Masse '[kg/m²'] max]]</f>
        <v>0</v>
      </c>
      <c r="AI34" s="70">
        <f>_xlfn.XLOOKUP(Baukon_neu[[#This Row],[LCA Datensatz]],LeitRess_Materialien[Material_UUID],LeitRess_Materialien[TMR '[kg Gesamtmaterialaufwand/kg']])*Baukon_neu[[#This Row],[Masse '[kg/m²'] Referenz]]</f>
        <v>0</v>
      </c>
      <c r="AJ34" s="70">
        <f>_xlfn.XLOOKUP(Baukon_neu[[#This Row],[LCA Datensatz]],LeitRess_Materialien[Material_UUID],LeitRess_Materialien[TMR '[kg Gesamtmaterialaufwand/kg']])*Baukon_neu[[#This Row],[Masse '[kg/m²'] min]]</f>
        <v>0</v>
      </c>
      <c r="AK34" s="70">
        <f>_xlfn.XLOOKUP(Baukon_neu[[#This Row],[LCA Datensatz]],LeitRess_Materialien[Material_UUID],LeitRess_Materialien[TMR '[kg Gesamtmaterialaufwand/kg']])*Baukon_neu[[#This Row],[Masse '[kg/m²'] max]]</f>
        <v>0</v>
      </c>
      <c r="AL34" s="70">
        <f>_xlfn.XLOOKUP(Baukon_neu[[#This Row],[LCA Datensatz]],LeitRess_Materialien[Material_UUID],LeitRess_Materialien[GWP '[kg CO2-Äqu./kg']])*Baukon_neu[[#This Row],[Masse '[kg/m²'] Referenz]]</f>
        <v>0</v>
      </c>
      <c r="AM34" s="70">
        <f>_xlfn.XLOOKUP(Baukon_neu[[#This Row],[LCA Datensatz]],LeitRess_Materialien[Material_UUID],LeitRess_Materialien[GWP '[kg CO2-Äqu./kg']])*Baukon_neu[[#This Row],[Masse '[kg/m²'] min]]</f>
        <v>0</v>
      </c>
      <c r="AN34" s="70">
        <f>_xlfn.XLOOKUP(Baukon_neu[[#This Row],[LCA Datensatz]],LeitRess_Materialien[Material_UUID],LeitRess_Materialien[GWP '[kg CO2-Äqu./kg']])*Baukon_neu[[#This Row],[Masse '[kg/m²'] max]]</f>
        <v>0</v>
      </c>
      <c r="AO34" s="70">
        <f>_xlfn.XLOOKUP(Baukon_neu[[#This Row],[LCA Datensatz]],LeitRess_Materialien[Material_UUID],LeitRess_Materialien[PENRT '[MJ/kg']])*Baukon_neu[[#This Row],[Masse '[kg/m²'] Referenz]]</f>
        <v>0</v>
      </c>
      <c r="AP34" s="70">
        <f>_xlfn.XLOOKUP(Baukon_neu[[#This Row],[LCA Datensatz]],LeitRess_Materialien[Material_UUID],LeitRess_Materialien[PENRT '[MJ/kg']])*Baukon_neu[[#This Row],[Masse '[kg/m²'] min]]</f>
        <v>0</v>
      </c>
      <c r="AQ34" s="70">
        <f>_xlfn.XLOOKUP(Baukon_neu[[#This Row],[LCA Datensatz]],LeitRess_Materialien[Material_UUID],LeitRess_Materialien[PENRT '[MJ/kg']])*Baukon_neu[[#This Row],[Masse '[kg/m²'] max]]</f>
        <v>0</v>
      </c>
      <c r="AR34" s="70" t="e">
        <f>_xlfn.XLOOKUP(Baukon_neu[[#This Row],[LCA Datensatz]],LeitRess_Materialien[Material_UUID],#REF!)*Baukon_neu[[#This Row],[Masse '[kg/m²'] Referenz]]</f>
        <v>#REF!</v>
      </c>
      <c r="AS34" s="70" t="e">
        <f>_xlfn.XLOOKUP(Baukon_neu[[#This Row],[LCA Datensatz]],LeitRess_Materialien[Material_UUID],#REF!)*Baukon_neu[[#This Row],[Masse '[kg/m²'] min]]</f>
        <v>#REF!</v>
      </c>
      <c r="AT34" s="70" t="e">
        <f>_xlfn.XLOOKUP(Baukon_neu[[#This Row],[LCA Datensatz]],LeitRess_Materialien[Material_UUID],#REF!)*Baukon_neu[[#This Row],[Masse '[kg/m²'] max]]</f>
        <v>#REF!</v>
      </c>
      <c r="AU34" s="70">
        <f>_xlfn.XLOOKUP(Baukon_neu[[#This Row],[LCA Datensatz]],LeitRess_Materialien[Material_UUID],LeitRess_Materialien[WDP '[m³ weighted water/kg']])*Baukon_neu[[#This Row],[Masse '[kg/m²'] Referenz]]</f>
        <v>0</v>
      </c>
      <c r="AV34" s="70">
        <f>_xlfn.XLOOKUP(Baukon_neu[[#This Row],[LCA Datensatz]],LeitRess_Materialien[Material_UUID],LeitRess_Materialien[WDP '[m³ weighted water/kg']])*Baukon_neu[[#This Row],[Masse '[kg/m²'] min]]</f>
        <v>0</v>
      </c>
      <c r="AW34" s="70">
        <f>_xlfn.XLOOKUP(Baukon_neu[[#This Row],[LCA Datensatz]],LeitRess_Materialien[Material_UUID],LeitRess_Materialien[WDP '[m³ weighted water/kg']])*Baukon_neu[[#This Row],[Masse '[kg/m²'] max]]</f>
        <v>0</v>
      </c>
      <c r="AX34" s="78">
        <f>Baukon_neu[[#This Row],[GWP '[kg CO2-Äqu./m²'] Referenz]]/'Ausgabe Tabellen'!$C$21+Baukon_neu[[#This Row],[PENRT '[MJ/m²'] Referenz]]/'Ausgabe Tabellen'!$C$22+Baukon_neu[[#This Row],[RMI '[kg Primärrohstoffe/m²'] Referenz]]/'Ausgabe Tabellen'!$C$23+Baukon_neu[[#This Row],[WDP '[m² weighted water/m²'] Referenz]]/'Ausgabe Tabellen'!$C$24</f>
        <v>0</v>
      </c>
      <c r="AY34" s="78">
        <f>Baukon_neu[[#This Row],[GWP '[kg CO2-Äqu./m²'] min]]/'Ausgabe Tabellen'!$C$21+Baukon_neu[[#This Row],[PENRT '[MJ/m²'] min]]/'Ausgabe Tabellen'!$C$22+Baukon_neu[[#This Row],[RMI '[kg Primärrohstoffe/m²'] min]]/'Ausgabe Tabellen'!$C$23+Baukon_neu[[#This Row],[WDP '[m² weighted water/m²'] min]]/'Ausgabe Tabellen'!$C$24</f>
        <v>0</v>
      </c>
      <c r="AZ34" s="78">
        <f>Baukon_neu[[#This Row],[GWP '[kg CO2-Äqu./m²'] max]]/'Ausgabe Tabellen'!$C$21+Baukon_neu[[#This Row],[PENRT '[MJ/m²'] max]]/'Ausgabe Tabellen'!$C$22+Baukon_neu[[#This Row],[RMI '[kg Primärrohstoffe/m²'] max]]/'Ausgabe Tabellen'!$C$23+Baukon_neu[[#This Row],[WDP '[m² weighted water/m²'] max]]/'Ausgabe Tabellen'!$C$24</f>
        <v>0</v>
      </c>
    </row>
    <row r="35" spans="1:52" x14ac:dyDescent="0.65">
      <c r="A35" s="73" t="s">
        <v>244</v>
      </c>
      <c r="B35" s="74"/>
      <c r="C35" s="74"/>
      <c r="D35" s="74"/>
      <c r="E35" s="68" t="str">
        <f>Baukon_neu[[#This Row],[Variante Nummer]]&amp;". "&amp;Baukon_neu[[#This Row],[Name Baukonstruktion]]&amp;" | " &amp;Baukon_neu[[#This Row],[Variante Name]]</f>
        <v xml:space="preserve">.  | </v>
      </c>
      <c r="F35" s="128" t="str">
        <f>IF(IFERROR(_xlfn.XLOOKUP(Baukon_neu[[#This Row],[ID Baukonstruktion]],Baukon_alle_A1_A3_results[ID Baukonstruktion],Baukon_alle_A1_A3_results[ID Baukonstruktion]),"okay")="okay", "okay","Achtung, id wird bereits verwendet")</f>
        <v>okay</v>
      </c>
      <c r="G35" s="75"/>
      <c r="H35" s="73" t="s">
        <v>244</v>
      </c>
      <c r="I35" s="73" t="s">
        <v>244</v>
      </c>
      <c r="J35" s="74"/>
      <c r="K35" s="68">
        <f>IF(Baukon_neu[[#This Row],[ist Dämmstoff?]]="ja",Baukon_neu[[#This Row],[Dicke '[mm'] Referenz]]+_xlfn.XLOOKUP(RIGHT(Baukon_neu[[#Headers],[Dicke '[mm'] min]],3),Dämmstoffvarianten[Variante],Dämmstoffvarianten[Differenz Dämmstoffedicke zu Referenz '[mm']]),Baukon_neu[[#This Row],[Dicke '[mm'] Referenz]])</f>
        <v>0</v>
      </c>
      <c r="L35" s="68">
        <f>IF(Baukon_neu[[#This Row],[ist Dämmstoff?]]="ja",Baukon_neu[[#This Row],[Dicke '[mm'] Referenz]]+_xlfn.XLOOKUP(RIGHT(Baukon_neu[[#Headers],[Dicke '[mm'] max]],3),Dämmstoffvarianten[Variante],Dämmstoffvarianten[Differenz Dämmstoffedicke zu Referenz '[mm']]),Baukon_neu[[#This Row],[Dicke '[mm'] Referenz]])</f>
        <v>0</v>
      </c>
      <c r="M35" s="76">
        <v>1</v>
      </c>
      <c r="N35" s="75"/>
      <c r="O35" s="69">
        <f>IFERROR(Baukon_neu[[#This Row],[Dicke '[mm'] Referenz]]/1000*Baukon_neu[[#This Row],[Flächenanteil '[%']]],"")</f>
        <v>0</v>
      </c>
      <c r="P35" s="69">
        <f>IFERROR(Baukon_neu[[#This Row],[Dicke '[mm'] min]]/1000*Baukon_neu[[#This Row],[Flächenanteil '[%']]],"")</f>
        <v>0</v>
      </c>
      <c r="Q35" s="69">
        <f>IFERROR(Baukon_neu[[#This Row],[Dicke '[mm'] max]]/1000*Baukon_neu[[#This Row],[Flächenanteil '[%']]],"")</f>
        <v>0</v>
      </c>
      <c r="R35" s="77" t="s">
        <v>226</v>
      </c>
      <c r="S35" s="69" t="str">
        <f>IFERROR(_xlfn.XLOOKUP(Baukon_neu[[#This Row],[Produkt]],LeitRess_Materialien[Name],LeitRess_Materialien[Material_UUID]),"")</f>
        <v>0</v>
      </c>
      <c r="T35" s="69">
        <f>IF(OR(Baukon_neu[[#This Row],[Rohdichte '[kg/m³'], Eingabe ]]="", Baukon_neu[[#This Row],[Rohdichte '[kg/m³'], Eingabe ]]="0"),_xlfn.XLOOKUP(Baukon_neu[[#This Row],[LCA Datensatz]],LeitRess_Materialien[Material_UUID],LeitRess_Materialien[Rohdichte_'[kg/m3']]),Baukon_neu[[#This Row],[Rohdichte '[kg/m³'], Eingabe ]])</f>
        <v>0</v>
      </c>
      <c r="U35" s="69">
        <f>IF(OR(Baukon_neu[[#This Row],[Flächengewicht '[kg/m²'], Eingabe ]]="", Baukon_neu[[#This Row],[Flächengewicht '[kg/m²'], Eingabe ]]="0"),_xlfn.XLOOKUP(Baukon_neu[[#This Row],[LCA Datensatz]],LeitRess_Materialien[Material_UUID],LeitRess_Materialien[Flächengewicht_'[kg/m2']]),Baukon_neu[[#This Row],[Flächengewicht '[kg/m²'], Eingabe ]])</f>
        <v>0</v>
      </c>
      <c r="V35" s="69">
        <f>IF(OR(Baukon_neu[[#This Row],[Längengewicht '[kg/m'], Eingabe ]]="", Baukon_neu[[#This Row],[Längengewicht '[kg/m'], Eingabe ]]="0"),_xlfn.XLOOKUP(Baukon_neu[[#This Row],[LCA Datensatz]],LeitRess_Materialien[Material_UUID],LeitRess_Materialien[Längengewicht_'[kg/m']]),Baukon_neu[[#This Row],[Längengewicht '[kg/m'], Eingabe ]])</f>
        <v>0</v>
      </c>
      <c r="W35" s="69">
        <f>IF(OR(Baukon_neu[[#This Row],[lambda_'[W/mK'], Eingabe ]]="", Baukon_neu[[#This Row],[lambda_'[W/mK'], Eingabe ]]="0"),_xlfn.XLOOKUP(Baukon_neu[[#This Row],[LCA Datensatz]],LeitRess_Materialien[Material_UUID],LeitRess_Materialien[lambda_'[W/mK']]),Baukon_neu[[#This Row],[lambda_'[W/mK'], Eingabe ]])</f>
        <v>0</v>
      </c>
      <c r="X35" s="75"/>
      <c r="Y35" s="75"/>
      <c r="Z35" s="75"/>
      <c r="AA35" s="75"/>
      <c r="AB35" s="69">
        <f>IFERROR(
    IF(Baukon_neu[[#This Row],[Länge '[m/m²']]]*Baukon_neu[[#This Row],[Längengewicht '[kg/m']]]&lt;&gt;0, Baukon_neu[[#This Row],[Länge '[m/m²']]]*Baukon_neu[[#This Row],[Längengewicht '[kg/m']]],
       IF( Baukon_neu[[#This Row],[Volumen '[m³/m²'] Referenz]]*Baukon_neu[[#This Row],[Rohdichte '[kg/m³']]]&lt;&gt;0,
        Baukon_neu[[#This Row],[Volumen '[m³/m²'] Referenz]]*Baukon_neu[[#This Row],[Rohdichte '[kg/m³']]],
                Baukon_neu[[#This Row],[Flächenanteil '[%']]]*Baukon_neu[[#This Row],[Flächengewicht '[kg/m²']]])),"")</f>
        <v>0</v>
      </c>
      <c r="AC35" s="69">
        <f>IFERROR(
    IF(Baukon_neu[[#This Row],[Länge '[m/m²']]]*Baukon_neu[[#This Row],[Längengewicht '[kg/m']]]&lt;&gt;0, Baukon_neu[[#This Row],[Länge '[m/m²']]]*Baukon_neu[[#This Row],[Längengewicht '[kg/m']]],
       IF( Baukon_neu[[#This Row],[Volumen '[m³/m²'] min]]*Baukon_neu[[#This Row],[Rohdichte '[kg/m³']]]&lt;&gt;0,
        Baukon_neu[[#This Row],[Volumen '[m³/m²'] min]]*Baukon_neu[[#This Row],[Rohdichte '[kg/m³']]],
                Baukon_neu[[#This Row],[Flächenanteil '[%']]]*Baukon_neu[[#This Row],[Flächengewicht '[kg/m²']]])),"")</f>
        <v>0</v>
      </c>
      <c r="AD35" s="69">
        <f>IFERROR(
    IF(Baukon_neu[[#This Row],[Länge '[m/m²']]]*Baukon_neu[[#This Row],[Längengewicht '[kg/m']]]&lt;&gt;0, Baukon_neu[[#This Row],[Länge '[m/m²']]]*Baukon_neu[[#This Row],[Längengewicht '[kg/m']]],
       IF( Baukon_neu[[#This Row],[Volumen '[m³/m²'] max]]*Baukon_neu[[#This Row],[Rohdichte '[kg/m³']]]&lt;&gt;0,
        Baukon_neu[[#This Row],[Volumen '[m³/m²'] max]]*Baukon_neu[[#This Row],[Rohdichte '[kg/m³']]],
                Baukon_neu[[#This Row],[Flächenanteil '[%']]]*Baukon_neu[[#This Row],[Flächengewicht '[kg/m²']]])),"")</f>
        <v>0</v>
      </c>
      <c r="AE35" s="69" t="str">
        <f>IFERROR(Baukon_neu[[#This Row],[Dicke '[mm'] Referenz]]/Baukon_neu[[#This Row],[lambda_'[W/mK']]],"")</f>
        <v/>
      </c>
      <c r="AF35" s="70">
        <f>_xlfn.XLOOKUP(Baukon_neu[[#This Row],[LCA Datensatz]],LeitRess_Materialien[Material_UUID],LeitRess_Materialien[RMI '[kg Primärrohstoffe / kg']])*Baukon_neu[[#This Row],[Masse '[kg/m²'] Referenz]]</f>
        <v>0</v>
      </c>
      <c r="AG35" s="70">
        <f>_xlfn.XLOOKUP(Baukon_neu[[#This Row],[LCA Datensatz]],LeitRess_Materialien[Material_UUID],LeitRess_Materialien[RMI '[kg Primärrohstoffe / kg']])*Baukon_neu[[#This Row],[Masse '[kg/m²'] min]]</f>
        <v>0</v>
      </c>
      <c r="AH35" s="70">
        <f>_xlfn.XLOOKUP(Baukon_neu[[#This Row],[LCA Datensatz]],LeitRess_Materialien[Material_UUID],LeitRess_Materialien[RMI '[kg Primärrohstoffe / kg']])*Baukon_neu[[#This Row],[Masse '[kg/m²'] max]]</f>
        <v>0</v>
      </c>
      <c r="AI35" s="70">
        <f>_xlfn.XLOOKUP(Baukon_neu[[#This Row],[LCA Datensatz]],LeitRess_Materialien[Material_UUID],LeitRess_Materialien[TMR '[kg Gesamtmaterialaufwand/kg']])*Baukon_neu[[#This Row],[Masse '[kg/m²'] Referenz]]</f>
        <v>0</v>
      </c>
      <c r="AJ35" s="70">
        <f>_xlfn.XLOOKUP(Baukon_neu[[#This Row],[LCA Datensatz]],LeitRess_Materialien[Material_UUID],LeitRess_Materialien[TMR '[kg Gesamtmaterialaufwand/kg']])*Baukon_neu[[#This Row],[Masse '[kg/m²'] min]]</f>
        <v>0</v>
      </c>
      <c r="AK35" s="70">
        <f>_xlfn.XLOOKUP(Baukon_neu[[#This Row],[LCA Datensatz]],LeitRess_Materialien[Material_UUID],LeitRess_Materialien[TMR '[kg Gesamtmaterialaufwand/kg']])*Baukon_neu[[#This Row],[Masse '[kg/m²'] max]]</f>
        <v>0</v>
      </c>
      <c r="AL35" s="70">
        <f>_xlfn.XLOOKUP(Baukon_neu[[#This Row],[LCA Datensatz]],LeitRess_Materialien[Material_UUID],LeitRess_Materialien[GWP '[kg CO2-Äqu./kg']])*Baukon_neu[[#This Row],[Masse '[kg/m²'] Referenz]]</f>
        <v>0</v>
      </c>
      <c r="AM35" s="70">
        <f>_xlfn.XLOOKUP(Baukon_neu[[#This Row],[LCA Datensatz]],LeitRess_Materialien[Material_UUID],LeitRess_Materialien[GWP '[kg CO2-Äqu./kg']])*Baukon_neu[[#This Row],[Masse '[kg/m²'] min]]</f>
        <v>0</v>
      </c>
      <c r="AN35" s="70">
        <f>_xlfn.XLOOKUP(Baukon_neu[[#This Row],[LCA Datensatz]],LeitRess_Materialien[Material_UUID],LeitRess_Materialien[GWP '[kg CO2-Äqu./kg']])*Baukon_neu[[#This Row],[Masse '[kg/m²'] max]]</f>
        <v>0</v>
      </c>
      <c r="AO35" s="70">
        <f>_xlfn.XLOOKUP(Baukon_neu[[#This Row],[LCA Datensatz]],LeitRess_Materialien[Material_UUID],LeitRess_Materialien[PENRT '[MJ/kg']])*Baukon_neu[[#This Row],[Masse '[kg/m²'] Referenz]]</f>
        <v>0</v>
      </c>
      <c r="AP35" s="70">
        <f>_xlfn.XLOOKUP(Baukon_neu[[#This Row],[LCA Datensatz]],LeitRess_Materialien[Material_UUID],LeitRess_Materialien[PENRT '[MJ/kg']])*Baukon_neu[[#This Row],[Masse '[kg/m²'] min]]</f>
        <v>0</v>
      </c>
      <c r="AQ35" s="70">
        <f>_xlfn.XLOOKUP(Baukon_neu[[#This Row],[LCA Datensatz]],LeitRess_Materialien[Material_UUID],LeitRess_Materialien[PENRT '[MJ/kg']])*Baukon_neu[[#This Row],[Masse '[kg/m²'] max]]</f>
        <v>0</v>
      </c>
      <c r="AR35" s="70" t="e">
        <f>_xlfn.XLOOKUP(Baukon_neu[[#This Row],[LCA Datensatz]],LeitRess_Materialien[Material_UUID],#REF!)*Baukon_neu[[#This Row],[Masse '[kg/m²'] Referenz]]</f>
        <v>#REF!</v>
      </c>
      <c r="AS35" s="70" t="e">
        <f>_xlfn.XLOOKUP(Baukon_neu[[#This Row],[LCA Datensatz]],LeitRess_Materialien[Material_UUID],#REF!)*Baukon_neu[[#This Row],[Masse '[kg/m²'] min]]</f>
        <v>#REF!</v>
      </c>
      <c r="AT35" s="70" t="e">
        <f>_xlfn.XLOOKUP(Baukon_neu[[#This Row],[LCA Datensatz]],LeitRess_Materialien[Material_UUID],#REF!)*Baukon_neu[[#This Row],[Masse '[kg/m²'] max]]</f>
        <v>#REF!</v>
      </c>
      <c r="AU35" s="70">
        <f>_xlfn.XLOOKUP(Baukon_neu[[#This Row],[LCA Datensatz]],LeitRess_Materialien[Material_UUID],LeitRess_Materialien[WDP '[m³ weighted water/kg']])*Baukon_neu[[#This Row],[Masse '[kg/m²'] Referenz]]</f>
        <v>0</v>
      </c>
      <c r="AV35" s="70">
        <f>_xlfn.XLOOKUP(Baukon_neu[[#This Row],[LCA Datensatz]],LeitRess_Materialien[Material_UUID],LeitRess_Materialien[WDP '[m³ weighted water/kg']])*Baukon_neu[[#This Row],[Masse '[kg/m²'] min]]</f>
        <v>0</v>
      </c>
      <c r="AW35" s="70">
        <f>_xlfn.XLOOKUP(Baukon_neu[[#This Row],[LCA Datensatz]],LeitRess_Materialien[Material_UUID],LeitRess_Materialien[WDP '[m³ weighted water/kg']])*Baukon_neu[[#This Row],[Masse '[kg/m²'] max]]</f>
        <v>0</v>
      </c>
      <c r="AX35" s="78">
        <f>Baukon_neu[[#This Row],[GWP '[kg CO2-Äqu./m²'] Referenz]]/'Ausgabe Tabellen'!$C$21+Baukon_neu[[#This Row],[PENRT '[MJ/m²'] Referenz]]/'Ausgabe Tabellen'!$C$22+Baukon_neu[[#This Row],[RMI '[kg Primärrohstoffe/m²'] Referenz]]/'Ausgabe Tabellen'!$C$23+Baukon_neu[[#This Row],[WDP '[m² weighted water/m²'] Referenz]]/'Ausgabe Tabellen'!$C$24</f>
        <v>0</v>
      </c>
      <c r="AY35" s="78">
        <f>Baukon_neu[[#This Row],[GWP '[kg CO2-Äqu./m²'] min]]/'Ausgabe Tabellen'!$C$21+Baukon_neu[[#This Row],[PENRT '[MJ/m²'] min]]/'Ausgabe Tabellen'!$C$22+Baukon_neu[[#This Row],[RMI '[kg Primärrohstoffe/m²'] min]]/'Ausgabe Tabellen'!$C$23+Baukon_neu[[#This Row],[WDP '[m² weighted water/m²'] min]]/'Ausgabe Tabellen'!$C$24</f>
        <v>0</v>
      </c>
      <c r="AZ35" s="78">
        <f>Baukon_neu[[#This Row],[GWP '[kg CO2-Äqu./m²'] max]]/'Ausgabe Tabellen'!$C$21+Baukon_neu[[#This Row],[PENRT '[MJ/m²'] max]]/'Ausgabe Tabellen'!$C$22+Baukon_neu[[#This Row],[RMI '[kg Primärrohstoffe/m²'] max]]/'Ausgabe Tabellen'!$C$23+Baukon_neu[[#This Row],[WDP '[m² weighted water/m²'] max]]/'Ausgabe Tabellen'!$C$24</f>
        <v>0</v>
      </c>
    </row>
    <row r="36" spans="1:52" x14ac:dyDescent="0.65">
      <c r="A36" s="73" t="s">
        <v>244</v>
      </c>
      <c r="B36" s="74"/>
      <c r="C36" s="74"/>
      <c r="D36" s="74"/>
      <c r="E36" s="68" t="str">
        <f>Baukon_neu[[#This Row],[Variante Nummer]]&amp;". "&amp;Baukon_neu[[#This Row],[Name Baukonstruktion]]&amp;" | " &amp;Baukon_neu[[#This Row],[Variante Name]]</f>
        <v xml:space="preserve">.  | </v>
      </c>
      <c r="F36" s="128" t="str">
        <f>IF(IFERROR(_xlfn.XLOOKUP(Baukon_neu[[#This Row],[ID Baukonstruktion]],Baukon_alle_A1_A3_results[ID Baukonstruktion],Baukon_alle_A1_A3_results[ID Baukonstruktion]),"okay")="okay", "okay","Achtung, id wird bereits verwendet")</f>
        <v>okay</v>
      </c>
      <c r="G36" s="75"/>
      <c r="H36" s="73" t="s">
        <v>244</v>
      </c>
      <c r="I36" s="73" t="s">
        <v>244</v>
      </c>
      <c r="J36" s="74"/>
      <c r="K36" s="68">
        <f>IF(Baukon_neu[[#This Row],[ist Dämmstoff?]]="ja",Baukon_neu[[#This Row],[Dicke '[mm'] Referenz]]+_xlfn.XLOOKUP(RIGHT(Baukon_neu[[#Headers],[Dicke '[mm'] min]],3),Dämmstoffvarianten[Variante],Dämmstoffvarianten[Differenz Dämmstoffedicke zu Referenz '[mm']]),Baukon_neu[[#This Row],[Dicke '[mm'] Referenz]])</f>
        <v>0</v>
      </c>
      <c r="L36" s="68">
        <f>IF(Baukon_neu[[#This Row],[ist Dämmstoff?]]="ja",Baukon_neu[[#This Row],[Dicke '[mm'] Referenz]]+_xlfn.XLOOKUP(RIGHT(Baukon_neu[[#Headers],[Dicke '[mm'] max]],3),Dämmstoffvarianten[Variante],Dämmstoffvarianten[Differenz Dämmstoffedicke zu Referenz '[mm']]),Baukon_neu[[#This Row],[Dicke '[mm'] Referenz]])</f>
        <v>0</v>
      </c>
      <c r="M36" s="76">
        <v>1</v>
      </c>
      <c r="N36" s="75"/>
      <c r="O36" s="69">
        <f>IFERROR(Baukon_neu[[#This Row],[Dicke '[mm'] Referenz]]/1000*Baukon_neu[[#This Row],[Flächenanteil '[%']]],"")</f>
        <v>0</v>
      </c>
      <c r="P36" s="69">
        <f>IFERROR(Baukon_neu[[#This Row],[Dicke '[mm'] min]]/1000*Baukon_neu[[#This Row],[Flächenanteil '[%']]],"")</f>
        <v>0</v>
      </c>
      <c r="Q36" s="69">
        <f>IFERROR(Baukon_neu[[#This Row],[Dicke '[mm'] max]]/1000*Baukon_neu[[#This Row],[Flächenanteil '[%']]],"")</f>
        <v>0</v>
      </c>
      <c r="R36" s="77" t="s">
        <v>226</v>
      </c>
      <c r="S36" s="69" t="str">
        <f>IFERROR(_xlfn.XLOOKUP(Baukon_neu[[#This Row],[Produkt]],LeitRess_Materialien[Name],LeitRess_Materialien[Material_UUID]),"")</f>
        <v>0</v>
      </c>
      <c r="T36" s="69">
        <f>IF(OR(Baukon_neu[[#This Row],[Rohdichte '[kg/m³'], Eingabe ]]="", Baukon_neu[[#This Row],[Rohdichte '[kg/m³'], Eingabe ]]="0"),_xlfn.XLOOKUP(Baukon_neu[[#This Row],[LCA Datensatz]],LeitRess_Materialien[Material_UUID],LeitRess_Materialien[Rohdichte_'[kg/m3']]),Baukon_neu[[#This Row],[Rohdichte '[kg/m³'], Eingabe ]])</f>
        <v>0</v>
      </c>
      <c r="U36" s="69">
        <f>IF(OR(Baukon_neu[[#This Row],[Flächengewicht '[kg/m²'], Eingabe ]]="", Baukon_neu[[#This Row],[Flächengewicht '[kg/m²'], Eingabe ]]="0"),_xlfn.XLOOKUP(Baukon_neu[[#This Row],[LCA Datensatz]],LeitRess_Materialien[Material_UUID],LeitRess_Materialien[Flächengewicht_'[kg/m2']]),Baukon_neu[[#This Row],[Flächengewicht '[kg/m²'], Eingabe ]])</f>
        <v>0</v>
      </c>
      <c r="V36" s="69">
        <f>IF(OR(Baukon_neu[[#This Row],[Längengewicht '[kg/m'], Eingabe ]]="", Baukon_neu[[#This Row],[Längengewicht '[kg/m'], Eingabe ]]="0"),_xlfn.XLOOKUP(Baukon_neu[[#This Row],[LCA Datensatz]],LeitRess_Materialien[Material_UUID],LeitRess_Materialien[Längengewicht_'[kg/m']]),Baukon_neu[[#This Row],[Längengewicht '[kg/m'], Eingabe ]])</f>
        <v>0</v>
      </c>
      <c r="W36" s="69">
        <f>IF(OR(Baukon_neu[[#This Row],[lambda_'[W/mK'], Eingabe ]]="", Baukon_neu[[#This Row],[lambda_'[W/mK'], Eingabe ]]="0"),_xlfn.XLOOKUP(Baukon_neu[[#This Row],[LCA Datensatz]],LeitRess_Materialien[Material_UUID],LeitRess_Materialien[lambda_'[W/mK']]),Baukon_neu[[#This Row],[lambda_'[W/mK'], Eingabe ]])</f>
        <v>0</v>
      </c>
      <c r="X36" s="75"/>
      <c r="Y36" s="75"/>
      <c r="Z36" s="75"/>
      <c r="AA36" s="75"/>
      <c r="AB36" s="69">
        <f>IFERROR(
    IF(Baukon_neu[[#This Row],[Länge '[m/m²']]]*Baukon_neu[[#This Row],[Längengewicht '[kg/m']]]&lt;&gt;0, Baukon_neu[[#This Row],[Länge '[m/m²']]]*Baukon_neu[[#This Row],[Längengewicht '[kg/m']]],
       IF( Baukon_neu[[#This Row],[Volumen '[m³/m²'] Referenz]]*Baukon_neu[[#This Row],[Rohdichte '[kg/m³']]]&lt;&gt;0,
        Baukon_neu[[#This Row],[Volumen '[m³/m²'] Referenz]]*Baukon_neu[[#This Row],[Rohdichte '[kg/m³']]],
                Baukon_neu[[#This Row],[Flächenanteil '[%']]]*Baukon_neu[[#This Row],[Flächengewicht '[kg/m²']]])),"")</f>
        <v>0</v>
      </c>
      <c r="AC36" s="69">
        <f>IFERROR(
    IF(Baukon_neu[[#This Row],[Länge '[m/m²']]]*Baukon_neu[[#This Row],[Längengewicht '[kg/m']]]&lt;&gt;0, Baukon_neu[[#This Row],[Länge '[m/m²']]]*Baukon_neu[[#This Row],[Längengewicht '[kg/m']]],
       IF( Baukon_neu[[#This Row],[Volumen '[m³/m²'] min]]*Baukon_neu[[#This Row],[Rohdichte '[kg/m³']]]&lt;&gt;0,
        Baukon_neu[[#This Row],[Volumen '[m³/m²'] min]]*Baukon_neu[[#This Row],[Rohdichte '[kg/m³']]],
                Baukon_neu[[#This Row],[Flächenanteil '[%']]]*Baukon_neu[[#This Row],[Flächengewicht '[kg/m²']]])),"")</f>
        <v>0</v>
      </c>
      <c r="AD36" s="69">
        <f>IFERROR(
    IF(Baukon_neu[[#This Row],[Länge '[m/m²']]]*Baukon_neu[[#This Row],[Längengewicht '[kg/m']]]&lt;&gt;0, Baukon_neu[[#This Row],[Länge '[m/m²']]]*Baukon_neu[[#This Row],[Längengewicht '[kg/m']]],
       IF( Baukon_neu[[#This Row],[Volumen '[m³/m²'] max]]*Baukon_neu[[#This Row],[Rohdichte '[kg/m³']]]&lt;&gt;0,
        Baukon_neu[[#This Row],[Volumen '[m³/m²'] max]]*Baukon_neu[[#This Row],[Rohdichte '[kg/m³']]],
                Baukon_neu[[#This Row],[Flächenanteil '[%']]]*Baukon_neu[[#This Row],[Flächengewicht '[kg/m²']]])),"")</f>
        <v>0</v>
      </c>
      <c r="AE36" s="69" t="str">
        <f>IFERROR(Baukon_neu[[#This Row],[Dicke '[mm'] Referenz]]/Baukon_neu[[#This Row],[lambda_'[W/mK']]],"")</f>
        <v/>
      </c>
      <c r="AF36" s="70">
        <f>_xlfn.XLOOKUP(Baukon_neu[[#This Row],[LCA Datensatz]],LeitRess_Materialien[Material_UUID],LeitRess_Materialien[RMI '[kg Primärrohstoffe / kg']])*Baukon_neu[[#This Row],[Masse '[kg/m²'] Referenz]]</f>
        <v>0</v>
      </c>
      <c r="AG36" s="70">
        <f>_xlfn.XLOOKUP(Baukon_neu[[#This Row],[LCA Datensatz]],LeitRess_Materialien[Material_UUID],LeitRess_Materialien[RMI '[kg Primärrohstoffe / kg']])*Baukon_neu[[#This Row],[Masse '[kg/m²'] min]]</f>
        <v>0</v>
      </c>
      <c r="AH36" s="70">
        <f>_xlfn.XLOOKUP(Baukon_neu[[#This Row],[LCA Datensatz]],LeitRess_Materialien[Material_UUID],LeitRess_Materialien[RMI '[kg Primärrohstoffe / kg']])*Baukon_neu[[#This Row],[Masse '[kg/m²'] max]]</f>
        <v>0</v>
      </c>
      <c r="AI36" s="70">
        <f>_xlfn.XLOOKUP(Baukon_neu[[#This Row],[LCA Datensatz]],LeitRess_Materialien[Material_UUID],LeitRess_Materialien[TMR '[kg Gesamtmaterialaufwand/kg']])*Baukon_neu[[#This Row],[Masse '[kg/m²'] Referenz]]</f>
        <v>0</v>
      </c>
      <c r="AJ36" s="70">
        <f>_xlfn.XLOOKUP(Baukon_neu[[#This Row],[LCA Datensatz]],LeitRess_Materialien[Material_UUID],LeitRess_Materialien[TMR '[kg Gesamtmaterialaufwand/kg']])*Baukon_neu[[#This Row],[Masse '[kg/m²'] min]]</f>
        <v>0</v>
      </c>
      <c r="AK36" s="70">
        <f>_xlfn.XLOOKUP(Baukon_neu[[#This Row],[LCA Datensatz]],LeitRess_Materialien[Material_UUID],LeitRess_Materialien[TMR '[kg Gesamtmaterialaufwand/kg']])*Baukon_neu[[#This Row],[Masse '[kg/m²'] max]]</f>
        <v>0</v>
      </c>
      <c r="AL36" s="70">
        <f>_xlfn.XLOOKUP(Baukon_neu[[#This Row],[LCA Datensatz]],LeitRess_Materialien[Material_UUID],LeitRess_Materialien[GWP '[kg CO2-Äqu./kg']])*Baukon_neu[[#This Row],[Masse '[kg/m²'] Referenz]]</f>
        <v>0</v>
      </c>
      <c r="AM36" s="70">
        <f>_xlfn.XLOOKUP(Baukon_neu[[#This Row],[LCA Datensatz]],LeitRess_Materialien[Material_UUID],LeitRess_Materialien[GWP '[kg CO2-Äqu./kg']])*Baukon_neu[[#This Row],[Masse '[kg/m²'] min]]</f>
        <v>0</v>
      </c>
      <c r="AN36" s="70">
        <f>_xlfn.XLOOKUP(Baukon_neu[[#This Row],[LCA Datensatz]],LeitRess_Materialien[Material_UUID],LeitRess_Materialien[GWP '[kg CO2-Äqu./kg']])*Baukon_neu[[#This Row],[Masse '[kg/m²'] max]]</f>
        <v>0</v>
      </c>
      <c r="AO36" s="70">
        <f>_xlfn.XLOOKUP(Baukon_neu[[#This Row],[LCA Datensatz]],LeitRess_Materialien[Material_UUID],LeitRess_Materialien[PENRT '[MJ/kg']])*Baukon_neu[[#This Row],[Masse '[kg/m²'] Referenz]]</f>
        <v>0</v>
      </c>
      <c r="AP36" s="70">
        <f>_xlfn.XLOOKUP(Baukon_neu[[#This Row],[LCA Datensatz]],LeitRess_Materialien[Material_UUID],LeitRess_Materialien[PENRT '[MJ/kg']])*Baukon_neu[[#This Row],[Masse '[kg/m²'] min]]</f>
        <v>0</v>
      </c>
      <c r="AQ36" s="70">
        <f>_xlfn.XLOOKUP(Baukon_neu[[#This Row],[LCA Datensatz]],LeitRess_Materialien[Material_UUID],LeitRess_Materialien[PENRT '[MJ/kg']])*Baukon_neu[[#This Row],[Masse '[kg/m²'] max]]</f>
        <v>0</v>
      </c>
      <c r="AR36" s="70" t="e">
        <f>_xlfn.XLOOKUP(Baukon_neu[[#This Row],[LCA Datensatz]],LeitRess_Materialien[Material_UUID],#REF!)*Baukon_neu[[#This Row],[Masse '[kg/m²'] Referenz]]</f>
        <v>#REF!</v>
      </c>
      <c r="AS36" s="70" t="e">
        <f>_xlfn.XLOOKUP(Baukon_neu[[#This Row],[LCA Datensatz]],LeitRess_Materialien[Material_UUID],#REF!)*Baukon_neu[[#This Row],[Masse '[kg/m²'] min]]</f>
        <v>#REF!</v>
      </c>
      <c r="AT36" s="70" t="e">
        <f>_xlfn.XLOOKUP(Baukon_neu[[#This Row],[LCA Datensatz]],LeitRess_Materialien[Material_UUID],#REF!)*Baukon_neu[[#This Row],[Masse '[kg/m²'] max]]</f>
        <v>#REF!</v>
      </c>
      <c r="AU36" s="70">
        <f>_xlfn.XLOOKUP(Baukon_neu[[#This Row],[LCA Datensatz]],LeitRess_Materialien[Material_UUID],LeitRess_Materialien[WDP '[m³ weighted water/kg']])*Baukon_neu[[#This Row],[Masse '[kg/m²'] Referenz]]</f>
        <v>0</v>
      </c>
      <c r="AV36" s="70">
        <f>_xlfn.XLOOKUP(Baukon_neu[[#This Row],[LCA Datensatz]],LeitRess_Materialien[Material_UUID],LeitRess_Materialien[WDP '[m³ weighted water/kg']])*Baukon_neu[[#This Row],[Masse '[kg/m²'] min]]</f>
        <v>0</v>
      </c>
      <c r="AW36" s="70">
        <f>_xlfn.XLOOKUP(Baukon_neu[[#This Row],[LCA Datensatz]],LeitRess_Materialien[Material_UUID],LeitRess_Materialien[WDP '[m³ weighted water/kg']])*Baukon_neu[[#This Row],[Masse '[kg/m²'] max]]</f>
        <v>0</v>
      </c>
      <c r="AX36" s="78">
        <f>Baukon_neu[[#This Row],[GWP '[kg CO2-Äqu./m²'] Referenz]]/'Ausgabe Tabellen'!$C$21+Baukon_neu[[#This Row],[PENRT '[MJ/m²'] Referenz]]/'Ausgabe Tabellen'!$C$22+Baukon_neu[[#This Row],[RMI '[kg Primärrohstoffe/m²'] Referenz]]/'Ausgabe Tabellen'!$C$23+Baukon_neu[[#This Row],[WDP '[m² weighted water/m²'] Referenz]]/'Ausgabe Tabellen'!$C$24</f>
        <v>0</v>
      </c>
      <c r="AY36" s="78">
        <f>Baukon_neu[[#This Row],[GWP '[kg CO2-Äqu./m²'] min]]/'Ausgabe Tabellen'!$C$21+Baukon_neu[[#This Row],[PENRT '[MJ/m²'] min]]/'Ausgabe Tabellen'!$C$22+Baukon_neu[[#This Row],[RMI '[kg Primärrohstoffe/m²'] min]]/'Ausgabe Tabellen'!$C$23+Baukon_neu[[#This Row],[WDP '[m² weighted water/m²'] min]]/'Ausgabe Tabellen'!$C$24</f>
        <v>0</v>
      </c>
      <c r="AZ36" s="78">
        <f>Baukon_neu[[#This Row],[GWP '[kg CO2-Äqu./m²'] max]]/'Ausgabe Tabellen'!$C$21+Baukon_neu[[#This Row],[PENRT '[MJ/m²'] max]]/'Ausgabe Tabellen'!$C$22+Baukon_neu[[#This Row],[RMI '[kg Primärrohstoffe/m²'] max]]/'Ausgabe Tabellen'!$C$23+Baukon_neu[[#This Row],[WDP '[m² weighted water/m²'] max]]/'Ausgabe Tabellen'!$C$24</f>
        <v>0</v>
      </c>
    </row>
    <row r="37" spans="1:52" x14ac:dyDescent="0.65">
      <c r="A37" s="73" t="s">
        <v>244</v>
      </c>
      <c r="B37" s="74"/>
      <c r="C37" s="74"/>
      <c r="D37" s="74"/>
      <c r="E37" s="68" t="str">
        <f>Baukon_neu[[#This Row],[Variante Nummer]]&amp;". "&amp;Baukon_neu[[#This Row],[Name Baukonstruktion]]&amp;" | " &amp;Baukon_neu[[#This Row],[Variante Name]]</f>
        <v xml:space="preserve">.  | </v>
      </c>
      <c r="F37" s="128" t="str">
        <f>IF(IFERROR(_xlfn.XLOOKUP(Baukon_neu[[#This Row],[ID Baukonstruktion]],Baukon_alle_A1_A3_results[ID Baukonstruktion],Baukon_alle_A1_A3_results[ID Baukonstruktion]),"okay")="okay", "okay","Achtung, id wird bereits verwendet")</f>
        <v>okay</v>
      </c>
      <c r="G37" s="75"/>
      <c r="H37" s="73" t="s">
        <v>244</v>
      </c>
      <c r="I37" s="73" t="s">
        <v>244</v>
      </c>
      <c r="J37" s="74"/>
      <c r="K37" s="68">
        <f>IF(Baukon_neu[[#This Row],[ist Dämmstoff?]]="ja",Baukon_neu[[#This Row],[Dicke '[mm'] Referenz]]+_xlfn.XLOOKUP(RIGHT(Baukon_neu[[#Headers],[Dicke '[mm'] min]],3),Dämmstoffvarianten[Variante],Dämmstoffvarianten[Differenz Dämmstoffedicke zu Referenz '[mm']]),Baukon_neu[[#This Row],[Dicke '[mm'] Referenz]])</f>
        <v>0</v>
      </c>
      <c r="L37" s="68">
        <f>IF(Baukon_neu[[#This Row],[ist Dämmstoff?]]="ja",Baukon_neu[[#This Row],[Dicke '[mm'] Referenz]]+_xlfn.XLOOKUP(RIGHT(Baukon_neu[[#Headers],[Dicke '[mm'] max]],3),Dämmstoffvarianten[Variante],Dämmstoffvarianten[Differenz Dämmstoffedicke zu Referenz '[mm']]),Baukon_neu[[#This Row],[Dicke '[mm'] Referenz]])</f>
        <v>0</v>
      </c>
      <c r="M37" s="76">
        <v>1</v>
      </c>
      <c r="N37" s="75"/>
      <c r="O37" s="69">
        <f>IFERROR(Baukon_neu[[#This Row],[Dicke '[mm'] Referenz]]/1000*Baukon_neu[[#This Row],[Flächenanteil '[%']]],"")</f>
        <v>0</v>
      </c>
      <c r="P37" s="69">
        <f>IFERROR(Baukon_neu[[#This Row],[Dicke '[mm'] min]]/1000*Baukon_neu[[#This Row],[Flächenanteil '[%']]],"")</f>
        <v>0</v>
      </c>
      <c r="Q37" s="69">
        <f>IFERROR(Baukon_neu[[#This Row],[Dicke '[mm'] max]]/1000*Baukon_neu[[#This Row],[Flächenanteil '[%']]],"")</f>
        <v>0</v>
      </c>
      <c r="R37" s="77" t="s">
        <v>226</v>
      </c>
      <c r="S37" s="69" t="str">
        <f>IFERROR(_xlfn.XLOOKUP(Baukon_neu[[#This Row],[Produkt]],LeitRess_Materialien[Name],LeitRess_Materialien[Material_UUID]),"")</f>
        <v>0</v>
      </c>
      <c r="T37" s="69">
        <f>IF(OR(Baukon_neu[[#This Row],[Rohdichte '[kg/m³'], Eingabe ]]="", Baukon_neu[[#This Row],[Rohdichte '[kg/m³'], Eingabe ]]="0"),_xlfn.XLOOKUP(Baukon_neu[[#This Row],[LCA Datensatz]],LeitRess_Materialien[Material_UUID],LeitRess_Materialien[Rohdichte_'[kg/m3']]),Baukon_neu[[#This Row],[Rohdichte '[kg/m³'], Eingabe ]])</f>
        <v>0</v>
      </c>
      <c r="U37" s="69">
        <f>IF(OR(Baukon_neu[[#This Row],[Flächengewicht '[kg/m²'], Eingabe ]]="", Baukon_neu[[#This Row],[Flächengewicht '[kg/m²'], Eingabe ]]="0"),_xlfn.XLOOKUP(Baukon_neu[[#This Row],[LCA Datensatz]],LeitRess_Materialien[Material_UUID],LeitRess_Materialien[Flächengewicht_'[kg/m2']]),Baukon_neu[[#This Row],[Flächengewicht '[kg/m²'], Eingabe ]])</f>
        <v>0</v>
      </c>
      <c r="V37" s="69">
        <f>IF(OR(Baukon_neu[[#This Row],[Längengewicht '[kg/m'], Eingabe ]]="", Baukon_neu[[#This Row],[Längengewicht '[kg/m'], Eingabe ]]="0"),_xlfn.XLOOKUP(Baukon_neu[[#This Row],[LCA Datensatz]],LeitRess_Materialien[Material_UUID],LeitRess_Materialien[Längengewicht_'[kg/m']]),Baukon_neu[[#This Row],[Längengewicht '[kg/m'], Eingabe ]])</f>
        <v>0</v>
      </c>
      <c r="W37" s="69">
        <f>IF(OR(Baukon_neu[[#This Row],[lambda_'[W/mK'], Eingabe ]]="", Baukon_neu[[#This Row],[lambda_'[W/mK'], Eingabe ]]="0"),_xlfn.XLOOKUP(Baukon_neu[[#This Row],[LCA Datensatz]],LeitRess_Materialien[Material_UUID],LeitRess_Materialien[lambda_'[W/mK']]),Baukon_neu[[#This Row],[lambda_'[W/mK'], Eingabe ]])</f>
        <v>0</v>
      </c>
      <c r="X37" s="75"/>
      <c r="Y37" s="75"/>
      <c r="Z37" s="75"/>
      <c r="AA37" s="75"/>
      <c r="AB37" s="69">
        <f>IFERROR(
    IF(Baukon_neu[[#This Row],[Länge '[m/m²']]]*Baukon_neu[[#This Row],[Längengewicht '[kg/m']]]&lt;&gt;0, Baukon_neu[[#This Row],[Länge '[m/m²']]]*Baukon_neu[[#This Row],[Längengewicht '[kg/m']]],
       IF( Baukon_neu[[#This Row],[Volumen '[m³/m²'] Referenz]]*Baukon_neu[[#This Row],[Rohdichte '[kg/m³']]]&lt;&gt;0,
        Baukon_neu[[#This Row],[Volumen '[m³/m²'] Referenz]]*Baukon_neu[[#This Row],[Rohdichte '[kg/m³']]],
                Baukon_neu[[#This Row],[Flächenanteil '[%']]]*Baukon_neu[[#This Row],[Flächengewicht '[kg/m²']]])),"")</f>
        <v>0</v>
      </c>
      <c r="AC37" s="69">
        <f>IFERROR(
    IF(Baukon_neu[[#This Row],[Länge '[m/m²']]]*Baukon_neu[[#This Row],[Längengewicht '[kg/m']]]&lt;&gt;0, Baukon_neu[[#This Row],[Länge '[m/m²']]]*Baukon_neu[[#This Row],[Längengewicht '[kg/m']]],
       IF( Baukon_neu[[#This Row],[Volumen '[m³/m²'] min]]*Baukon_neu[[#This Row],[Rohdichte '[kg/m³']]]&lt;&gt;0,
        Baukon_neu[[#This Row],[Volumen '[m³/m²'] min]]*Baukon_neu[[#This Row],[Rohdichte '[kg/m³']]],
                Baukon_neu[[#This Row],[Flächenanteil '[%']]]*Baukon_neu[[#This Row],[Flächengewicht '[kg/m²']]])),"")</f>
        <v>0</v>
      </c>
      <c r="AD37" s="69">
        <f>IFERROR(
    IF(Baukon_neu[[#This Row],[Länge '[m/m²']]]*Baukon_neu[[#This Row],[Längengewicht '[kg/m']]]&lt;&gt;0, Baukon_neu[[#This Row],[Länge '[m/m²']]]*Baukon_neu[[#This Row],[Längengewicht '[kg/m']]],
       IF( Baukon_neu[[#This Row],[Volumen '[m³/m²'] max]]*Baukon_neu[[#This Row],[Rohdichte '[kg/m³']]]&lt;&gt;0,
        Baukon_neu[[#This Row],[Volumen '[m³/m²'] max]]*Baukon_neu[[#This Row],[Rohdichte '[kg/m³']]],
                Baukon_neu[[#This Row],[Flächenanteil '[%']]]*Baukon_neu[[#This Row],[Flächengewicht '[kg/m²']]])),"")</f>
        <v>0</v>
      </c>
      <c r="AE37" s="69" t="str">
        <f>IFERROR(Baukon_neu[[#This Row],[Dicke '[mm'] Referenz]]/Baukon_neu[[#This Row],[lambda_'[W/mK']]],"")</f>
        <v/>
      </c>
      <c r="AF37" s="70">
        <f>_xlfn.XLOOKUP(Baukon_neu[[#This Row],[LCA Datensatz]],LeitRess_Materialien[Material_UUID],LeitRess_Materialien[RMI '[kg Primärrohstoffe / kg']])*Baukon_neu[[#This Row],[Masse '[kg/m²'] Referenz]]</f>
        <v>0</v>
      </c>
      <c r="AG37" s="70">
        <f>_xlfn.XLOOKUP(Baukon_neu[[#This Row],[LCA Datensatz]],LeitRess_Materialien[Material_UUID],LeitRess_Materialien[RMI '[kg Primärrohstoffe / kg']])*Baukon_neu[[#This Row],[Masse '[kg/m²'] min]]</f>
        <v>0</v>
      </c>
      <c r="AH37" s="70">
        <f>_xlfn.XLOOKUP(Baukon_neu[[#This Row],[LCA Datensatz]],LeitRess_Materialien[Material_UUID],LeitRess_Materialien[RMI '[kg Primärrohstoffe / kg']])*Baukon_neu[[#This Row],[Masse '[kg/m²'] max]]</f>
        <v>0</v>
      </c>
      <c r="AI37" s="70">
        <f>_xlfn.XLOOKUP(Baukon_neu[[#This Row],[LCA Datensatz]],LeitRess_Materialien[Material_UUID],LeitRess_Materialien[TMR '[kg Gesamtmaterialaufwand/kg']])*Baukon_neu[[#This Row],[Masse '[kg/m²'] Referenz]]</f>
        <v>0</v>
      </c>
      <c r="AJ37" s="70">
        <f>_xlfn.XLOOKUP(Baukon_neu[[#This Row],[LCA Datensatz]],LeitRess_Materialien[Material_UUID],LeitRess_Materialien[TMR '[kg Gesamtmaterialaufwand/kg']])*Baukon_neu[[#This Row],[Masse '[kg/m²'] min]]</f>
        <v>0</v>
      </c>
      <c r="AK37" s="70">
        <f>_xlfn.XLOOKUP(Baukon_neu[[#This Row],[LCA Datensatz]],LeitRess_Materialien[Material_UUID],LeitRess_Materialien[TMR '[kg Gesamtmaterialaufwand/kg']])*Baukon_neu[[#This Row],[Masse '[kg/m²'] max]]</f>
        <v>0</v>
      </c>
      <c r="AL37" s="70">
        <f>_xlfn.XLOOKUP(Baukon_neu[[#This Row],[LCA Datensatz]],LeitRess_Materialien[Material_UUID],LeitRess_Materialien[GWP '[kg CO2-Äqu./kg']])*Baukon_neu[[#This Row],[Masse '[kg/m²'] Referenz]]</f>
        <v>0</v>
      </c>
      <c r="AM37" s="70">
        <f>_xlfn.XLOOKUP(Baukon_neu[[#This Row],[LCA Datensatz]],LeitRess_Materialien[Material_UUID],LeitRess_Materialien[GWP '[kg CO2-Äqu./kg']])*Baukon_neu[[#This Row],[Masse '[kg/m²'] min]]</f>
        <v>0</v>
      </c>
      <c r="AN37" s="70">
        <f>_xlfn.XLOOKUP(Baukon_neu[[#This Row],[LCA Datensatz]],LeitRess_Materialien[Material_UUID],LeitRess_Materialien[GWP '[kg CO2-Äqu./kg']])*Baukon_neu[[#This Row],[Masse '[kg/m²'] max]]</f>
        <v>0</v>
      </c>
      <c r="AO37" s="70">
        <f>_xlfn.XLOOKUP(Baukon_neu[[#This Row],[LCA Datensatz]],LeitRess_Materialien[Material_UUID],LeitRess_Materialien[PENRT '[MJ/kg']])*Baukon_neu[[#This Row],[Masse '[kg/m²'] Referenz]]</f>
        <v>0</v>
      </c>
      <c r="AP37" s="70">
        <f>_xlfn.XLOOKUP(Baukon_neu[[#This Row],[LCA Datensatz]],LeitRess_Materialien[Material_UUID],LeitRess_Materialien[PENRT '[MJ/kg']])*Baukon_neu[[#This Row],[Masse '[kg/m²'] min]]</f>
        <v>0</v>
      </c>
      <c r="AQ37" s="70">
        <f>_xlfn.XLOOKUP(Baukon_neu[[#This Row],[LCA Datensatz]],LeitRess_Materialien[Material_UUID],LeitRess_Materialien[PENRT '[MJ/kg']])*Baukon_neu[[#This Row],[Masse '[kg/m²'] max]]</f>
        <v>0</v>
      </c>
      <c r="AR37" s="70" t="e">
        <f>_xlfn.XLOOKUP(Baukon_neu[[#This Row],[LCA Datensatz]],LeitRess_Materialien[Material_UUID],#REF!)*Baukon_neu[[#This Row],[Masse '[kg/m²'] Referenz]]</f>
        <v>#REF!</v>
      </c>
      <c r="AS37" s="70" t="e">
        <f>_xlfn.XLOOKUP(Baukon_neu[[#This Row],[LCA Datensatz]],LeitRess_Materialien[Material_UUID],#REF!)*Baukon_neu[[#This Row],[Masse '[kg/m²'] min]]</f>
        <v>#REF!</v>
      </c>
      <c r="AT37" s="70" t="e">
        <f>_xlfn.XLOOKUP(Baukon_neu[[#This Row],[LCA Datensatz]],LeitRess_Materialien[Material_UUID],#REF!)*Baukon_neu[[#This Row],[Masse '[kg/m²'] max]]</f>
        <v>#REF!</v>
      </c>
      <c r="AU37" s="70">
        <f>_xlfn.XLOOKUP(Baukon_neu[[#This Row],[LCA Datensatz]],LeitRess_Materialien[Material_UUID],LeitRess_Materialien[WDP '[m³ weighted water/kg']])*Baukon_neu[[#This Row],[Masse '[kg/m²'] Referenz]]</f>
        <v>0</v>
      </c>
      <c r="AV37" s="70">
        <f>_xlfn.XLOOKUP(Baukon_neu[[#This Row],[LCA Datensatz]],LeitRess_Materialien[Material_UUID],LeitRess_Materialien[WDP '[m³ weighted water/kg']])*Baukon_neu[[#This Row],[Masse '[kg/m²'] min]]</f>
        <v>0</v>
      </c>
      <c r="AW37" s="70">
        <f>_xlfn.XLOOKUP(Baukon_neu[[#This Row],[LCA Datensatz]],LeitRess_Materialien[Material_UUID],LeitRess_Materialien[WDP '[m³ weighted water/kg']])*Baukon_neu[[#This Row],[Masse '[kg/m²'] max]]</f>
        <v>0</v>
      </c>
      <c r="AX37" s="78">
        <f>Baukon_neu[[#This Row],[GWP '[kg CO2-Äqu./m²'] Referenz]]/'Ausgabe Tabellen'!$C$21+Baukon_neu[[#This Row],[PENRT '[MJ/m²'] Referenz]]/'Ausgabe Tabellen'!$C$22+Baukon_neu[[#This Row],[RMI '[kg Primärrohstoffe/m²'] Referenz]]/'Ausgabe Tabellen'!$C$23+Baukon_neu[[#This Row],[WDP '[m² weighted water/m²'] Referenz]]/'Ausgabe Tabellen'!$C$24</f>
        <v>0</v>
      </c>
      <c r="AY37" s="78">
        <f>Baukon_neu[[#This Row],[GWP '[kg CO2-Äqu./m²'] min]]/'Ausgabe Tabellen'!$C$21+Baukon_neu[[#This Row],[PENRT '[MJ/m²'] min]]/'Ausgabe Tabellen'!$C$22+Baukon_neu[[#This Row],[RMI '[kg Primärrohstoffe/m²'] min]]/'Ausgabe Tabellen'!$C$23+Baukon_neu[[#This Row],[WDP '[m² weighted water/m²'] min]]/'Ausgabe Tabellen'!$C$24</f>
        <v>0</v>
      </c>
      <c r="AZ37" s="78">
        <f>Baukon_neu[[#This Row],[GWP '[kg CO2-Äqu./m²'] max]]/'Ausgabe Tabellen'!$C$21+Baukon_neu[[#This Row],[PENRT '[MJ/m²'] max]]/'Ausgabe Tabellen'!$C$22+Baukon_neu[[#This Row],[RMI '[kg Primärrohstoffe/m²'] max]]/'Ausgabe Tabellen'!$C$23+Baukon_neu[[#This Row],[WDP '[m² weighted water/m²'] max]]/'Ausgabe Tabellen'!$C$24</f>
        <v>0</v>
      </c>
    </row>
    <row r="38" spans="1:52" x14ac:dyDescent="0.65">
      <c r="A38" s="73" t="s">
        <v>244</v>
      </c>
      <c r="B38" s="74"/>
      <c r="C38" s="74"/>
      <c r="D38" s="74"/>
      <c r="E38" s="68" t="str">
        <f>Baukon_neu[[#This Row],[Variante Nummer]]&amp;". "&amp;Baukon_neu[[#This Row],[Name Baukonstruktion]]&amp;" | " &amp;Baukon_neu[[#This Row],[Variante Name]]</f>
        <v xml:space="preserve">.  | </v>
      </c>
      <c r="F38" s="128" t="str">
        <f>IF(IFERROR(_xlfn.XLOOKUP(Baukon_neu[[#This Row],[ID Baukonstruktion]],Baukon_alle_A1_A3_results[ID Baukonstruktion],Baukon_alle_A1_A3_results[ID Baukonstruktion]),"okay")="okay", "okay","Achtung, id wird bereits verwendet")</f>
        <v>okay</v>
      </c>
      <c r="G38" s="75"/>
      <c r="H38" s="73" t="s">
        <v>244</v>
      </c>
      <c r="I38" s="73" t="s">
        <v>244</v>
      </c>
      <c r="J38" s="74"/>
      <c r="K38" s="68">
        <f>IF(Baukon_neu[[#This Row],[ist Dämmstoff?]]="ja",Baukon_neu[[#This Row],[Dicke '[mm'] Referenz]]+_xlfn.XLOOKUP(RIGHT(Baukon_neu[[#Headers],[Dicke '[mm'] min]],3),Dämmstoffvarianten[Variante],Dämmstoffvarianten[Differenz Dämmstoffedicke zu Referenz '[mm']]),Baukon_neu[[#This Row],[Dicke '[mm'] Referenz]])</f>
        <v>0</v>
      </c>
      <c r="L38" s="68">
        <f>IF(Baukon_neu[[#This Row],[ist Dämmstoff?]]="ja",Baukon_neu[[#This Row],[Dicke '[mm'] Referenz]]+_xlfn.XLOOKUP(RIGHT(Baukon_neu[[#Headers],[Dicke '[mm'] max]],3),Dämmstoffvarianten[Variante],Dämmstoffvarianten[Differenz Dämmstoffedicke zu Referenz '[mm']]),Baukon_neu[[#This Row],[Dicke '[mm'] Referenz]])</f>
        <v>0</v>
      </c>
      <c r="M38" s="76">
        <v>1</v>
      </c>
      <c r="N38" s="75"/>
      <c r="O38" s="69">
        <f>IFERROR(Baukon_neu[[#This Row],[Dicke '[mm'] Referenz]]/1000*Baukon_neu[[#This Row],[Flächenanteil '[%']]],"")</f>
        <v>0</v>
      </c>
      <c r="P38" s="69">
        <f>IFERROR(Baukon_neu[[#This Row],[Dicke '[mm'] min]]/1000*Baukon_neu[[#This Row],[Flächenanteil '[%']]],"")</f>
        <v>0</v>
      </c>
      <c r="Q38" s="69">
        <f>IFERROR(Baukon_neu[[#This Row],[Dicke '[mm'] max]]/1000*Baukon_neu[[#This Row],[Flächenanteil '[%']]],"")</f>
        <v>0</v>
      </c>
      <c r="R38" s="77" t="s">
        <v>226</v>
      </c>
      <c r="S38" s="69" t="str">
        <f>IFERROR(_xlfn.XLOOKUP(Baukon_neu[[#This Row],[Produkt]],LeitRess_Materialien[Name],LeitRess_Materialien[Material_UUID]),"")</f>
        <v>0</v>
      </c>
      <c r="T38" s="69">
        <f>IF(OR(Baukon_neu[[#This Row],[Rohdichte '[kg/m³'], Eingabe ]]="", Baukon_neu[[#This Row],[Rohdichte '[kg/m³'], Eingabe ]]="0"),_xlfn.XLOOKUP(Baukon_neu[[#This Row],[LCA Datensatz]],LeitRess_Materialien[Material_UUID],LeitRess_Materialien[Rohdichte_'[kg/m3']]),Baukon_neu[[#This Row],[Rohdichte '[kg/m³'], Eingabe ]])</f>
        <v>0</v>
      </c>
      <c r="U38" s="69">
        <f>IF(OR(Baukon_neu[[#This Row],[Flächengewicht '[kg/m²'], Eingabe ]]="", Baukon_neu[[#This Row],[Flächengewicht '[kg/m²'], Eingabe ]]="0"),_xlfn.XLOOKUP(Baukon_neu[[#This Row],[LCA Datensatz]],LeitRess_Materialien[Material_UUID],LeitRess_Materialien[Flächengewicht_'[kg/m2']]),Baukon_neu[[#This Row],[Flächengewicht '[kg/m²'], Eingabe ]])</f>
        <v>0</v>
      </c>
      <c r="V38" s="69">
        <f>IF(OR(Baukon_neu[[#This Row],[Längengewicht '[kg/m'], Eingabe ]]="", Baukon_neu[[#This Row],[Längengewicht '[kg/m'], Eingabe ]]="0"),_xlfn.XLOOKUP(Baukon_neu[[#This Row],[LCA Datensatz]],LeitRess_Materialien[Material_UUID],LeitRess_Materialien[Längengewicht_'[kg/m']]),Baukon_neu[[#This Row],[Längengewicht '[kg/m'], Eingabe ]])</f>
        <v>0</v>
      </c>
      <c r="W38" s="69">
        <f>IF(OR(Baukon_neu[[#This Row],[lambda_'[W/mK'], Eingabe ]]="", Baukon_neu[[#This Row],[lambda_'[W/mK'], Eingabe ]]="0"),_xlfn.XLOOKUP(Baukon_neu[[#This Row],[LCA Datensatz]],LeitRess_Materialien[Material_UUID],LeitRess_Materialien[lambda_'[W/mK']]),Baukon_neu[[#This Row],[lambda_'[W/mK'], Eingabe ]])</f>
        <v>0</v>
      </c>
      <c r="X38" s="75"/>
      <c r="Y38" s="75"/>
      <c r="Z38" s="75"/>
      <c r="AA38" s="75"/>
      <c r="AB38" s="69">
        <f>IFERROR(
    IF(Baukon_neu[[#This Row],[Länge '[m/m²']]]*Baukon_neu[[#This Row],[Längengewicht '[kg/m']]]&lt;&gt;0, Baukon_neu[[#This Row],[Länge '[m/m²']]]*Baukon_neu[[#This Row],[Längengewicht '[kg/m']]],
       IF( Baukon_neu[[#This Row],[Volumen '[m³/m²'] Referenz]]*Baukon_neu[[#This Row],[Rohdichte '[kg/m³']]]&lt;&gt;0,
        Baukon_neu[[#This Row],[Volumen '[m³/m²'] Referenz]]*Baukon_neu[[#This Row],[Rohdichte '[kg/m³']]],
                Baukon_neu[[#This Row],[Flächenanteil '[%']]]*Baukon_neu[[#This Row],[Flächengewicht '[kg/m²']]])),"")</f>
        <v>0</v>
      </c>
      <c r="AC38" s="69">
        <f>IFERROR(
    IF(Baukon_neu[[#This Row],[Länge '[m/m²']]]*Baukon_neu[[#This Row],[Längengewicht '[kg/m']]]&lt;&gt;0, Baukon_neu[[#This Row],[Länge '[m/m²']]]*Baukon_neu[[#This Row],[Längengewicht '[kg/m']]],
       IF( Baukon_neu[[#This Row],[Volumen '[m³/m²'] min]]*Baukon_neu[[#This Row],[Rohdichte '[kg/m³']]]&lt;&gt;0,
        Baukon_neu[[#This Row],[Volumen '[m³/m²'] min]]*Baukon_neu[[#This Row],[Rohdichte '[kg/m³']]],
                Baukon_neu[[#This Row],[Flächenanteil '[%']]]*Baukon_neu[[#This Row],[Flächengewicht '[kg/m²']]])),"")</f>
        <v>0</v>
      </c>
      <c r="AD38" s="69">
        <f>IFERROR(
    IF(Baukon_neu[[#This Row],[Länge '[m/m²']]]*Baukon_neu[[#This Row],[Längengewicht '[kg/m']]]&lt;&gt;0, Baukon_neu[[#This Row],[Länge '[m/m²']]]*Baukon_neu[[#This Row],[Längengewicht '[kg/m']]],
       IF( Baukon_neu[[#This Row],[Volumen '[m³/m²'] max]]*Baukon_neu[[#This Row],[Rohdichte '[kg/m³']]]&lt;&gt;0,
        Baukon_neu[[#This Row],[Volumen '[m³/m²'] max]]*Baukon_neu[[#This Row],[Rohdichte '[kg/m³']]],
                Baukon_neu[[#This Row],[Flächenanteil '[%']]]*Baukon_neu[[#This Row],[Flächengewicht '[kg/m²']]])),"")</f>
        <v>0</v>
      </c>
      <c r="AE38" s="69" t="str">
        <f>IFERROR(Baukon_neu[[#This Row],[Dicke '[mm'] Referenz]]/Baukon_neu[[#This Row],[lambda_'[W/mK']]],"")</f>
        <v/>
      </c>
      <c r="AF38" s="70">
        <f>_xlfn.XLOOKUP(Baukon_neu[[#This Row],[LCA Datensatz]],LeitRess_Materialien[Material_UUID],LeitRess_Materialien[RMI '[kg Primärrohstoffe / kg']])*Baukon_neu[[#This Row],[Masse '[kg/m²'] Referenz]]</f>
        <v>0</v>
      </c>
      <c r="AG38" s="70">
        <f>_xlfn.XLOOKUP(Baukon_neu[[#This Row],[LCA Datensatz]],LeitRess_Materialien[Material_UUID],LeitRess_Materialien[RMI '[kg Primärrohstoffe / kg']])*Baukon_neu[[#This Row],[Masse '[kg/m²'] min]]</f>
        <v>0</v>
      </c>
      <c r="AH38" s="70">
        <f>_xlfn.XLOOKUP(Baukon_neu[[#This Row],[LCA Datensatz]],LeitRess_Materialien[Material_UUID],LeitRess_Materialien[RMI '[kg Primärrohstoffe / kg']])*Baukon_neu[[#This Row],[Masse '[kg/m²'] max]]</f>
        <v>0</v>
      </c>
      <c r="AI38" s="70">
        <f>_xlfn.XLOOKUP(Baukon_neu[[#This Row],[LCA Datensatz]],LeitRess_Materialien[Material_UUID],LeitRess_Materialien[TMR '[kg Gesamtmaterialaufwand/kg']])*Baukon_neu[[#This Row],[Masse '[kg/m²'] Referenz]]</f>
        <v>0</v>
      </c>
      <c r="AJ38" s="70">
        <f>_xlfn.XLOOKUP(Baukon_neu[[#This Row],[LCA Datensatz]],LeitRess_Materialien[Material_UUID],LeitRess_Materialien[TMR '[kg Gesamtmaterialaufwand/kg']])*Baukon_neu[[#This Row],[Masse '[kg/m²'] min]]</f>
        <v>0</v>
      </c>
      <c r="AK38" s="70">
        <f>_xlfn.XLOOKUP(Baukon_neu[[#This Row],[LCA Datensatz]],LeitRess_Materialien[Material_UUID],LeitRess_Materialien[TMR '[kg Gesamtmaterialaufwand/kg']])*Baukon_neu[[#This Row],[Masse '[kg/m²'] max]]</f>
        <v>0</v>
      </c>
      <c r="AL38" s="70">
        <f>_xlfn.XLOOKUP(Baukon_neu[[#This Row],[LCA Datensatz]],LeitRess_Materialien[Material_UUID],LeitRess_Materialien[GWP '[kg CO2-Äqu./kg']])*Baukon_neu[[#This Row],[Masse '[kg/m²'] Referenz]]</f>
        <v>0</v>
      </c>
      <c r="AM38" s="70">
        <f>_xlfn.XLOOKUP(Baukon_neu[[#This Row],[LCA Datensatz]],LeitRess_Materialien[Material_UUID],LeitRess_Materialien[GWP '[kg CO2-Äqu./kg']])*Baukon_neu[[#This Row],[Masse '[kg/m²'] min]]</f>
        <v>0</v>
      </c>
      <c r="AN38" s="70">
        <f>_xlfn.XLOOKUP(Baukon_neu[[#This Row],[LCA Datensatz]],LeitRess_Materialien[Material_UUID],LeitRess_Materialien[GWP '[kg CO2-Äqu./kg']])*Baukon_neu[[#This Row],[Masse '[kg/m²'] max]]</f>
        <v>0</v>
      </c>
      <c r="AO38" s="70">
        <f>_xlfn.XLOOKUP(Baukon_neu[[#This Row],[LCA Datensatz]],LeitRess_Materialien[Material_UUID],LeitRess_Materialien[PENRT '[MJ/kg']])*Baukon_neu[[#This Row],[Masse '[kg/m²'] Referenz]]</f>
        <v>0</v>
      </c>
      <c r="AP38" s="70">
        <f>_xlfn.XLOOKUP(Baukon_neu[[#This Row],[LCA Datensatz]],LeitRess_Materialien[Material_UUID],LeitRess_Materialien[PENRT '[MJ/kg']])*Baukon_neu[[#This Row],[Masse '[kg/m²'] min]]</f>
        <v>0</v>
      </c>
      <c r="AQ38" s="70">
        <f>_xlfn.XLOOKUP(Baukon_neu[[#This Row],[LCA Datensatz]],LeitRess_Materialien[Material_UUID],LeitRess_Materialien[PENRT '[MJ/kg']])*Baukon_neu[[#This Row],[Masse '[kg/m²'] max]]</f>
        <v>0</v>
      </c>
      <c r="AR38" s="70" t="e">
        <f>_xlfn.XLOOKUP(Baukon_neu[[#This Row],[LCA Datensatz]],LeitRess_Materialien[Material_UUID],#REF!)*Baukon_neu[[#This Row],[Masse '[kg/m²'] Referenz]]</f>
        <v>#REF!</v>
      </c>
      <c r="AS38" s="70" t="e">
        <f>_xlfn.XLOOKUP(Baukon_neu[[#This Row],[LCA Datensatz]],LeitRess_Materialien[Material_UUID],#REF!)*Baukon_neu[[#This Row],[Masse '[kg/m²'] min]]</f>
        <v>#REF!</v>
      </c>
      <c r="AT38" s="70" t="e">
        <f>_xlfn.XLOOKUP(Baukon_neu[[#This Row],[LCA Datensatz]],LeitRess_Materialien[Material_UUID],#REF!)*Baukon_neu[[#This Row],[Masse '[kg/m²'] max]]</f>
        <v>#REF!</v>
      </c>
      <c r="AU38" s="70">
        <f>_xlfn.XLOOKUP(Baukon_neu[[#This Row],[LCA Datensatz]],LeitRess_Materialien[Material_UUID],LeitRess_Materialien[WDP '[m³ weighted water/kg']])*Baukon_neu[[#This Row],[Masse '[kg/m²'] Referenz]]</f>
        <v>0</v>
      </c>
      <c r="AV38" s="70">
        <f>_xlfn.XLOOKUP(Baukon_neu[[#This Row],[LCA Datensatz]],LeitRess_Materialien[Material_UUID],LeitRess_Materialien[WDP '[m³ weighted water/kg']])*Baukon_neu[[#This Row],[Masse '[kg/m²'] min]]</f>
        <v>0</v>
      </c>
      <c r="AW38" s="70">
        <f>_xlfn.XLOOKUP(Baukon_neu[[#This Row],[LCA Datensatz]],LeitRess_Materialien[Material_UUID],LeitRess_Materialien[WDP '[m³ weighted water/kg']])*Baukon_neu[[#This Row],[Masse '[kg/m²'] max]]</f>
        <v>0</v>
      </c>
      <c r="AX38" s="78">
        <f>Baukon_neu[[#This Row],[GWP '[kg CO2-Äqu./m²'] Referenz]]/'Ausgabe Tabellen'!$C$21+Baukon_neu[[#This Row],[PENRT '[MJ/m²'] Referenz]]/'Ausgabe Tabellen'!$C$22+Baukon_neu[[#This Row],[RMI '[kg Primärrohstoffe/m²'] Referenz]]/'Ausgabe Tabellen'!$C$23+Baukon_neu[[#This Row],[WDP '[m² weighted water/m²'] Referenz]]/'Ausgabe Tabellen'!$C$24</f>
        <v>0</v>
      </c>
      <c r="AY38" s="78">
        <f>Baukon_neu[[#This Row],[GWP '[kg CO2-Äqu./m²'] min]]/'Ausgabe Tabellen'!$C$21+Baukon_neu[[#This Row],[PENRT '[MJ/m²'] min]]/'Ausgabe Tabellen'!$C$22+Baukon_neu[[#This Row],[RMI '[kg Primärrohstoffe/m²'] min]]/'Ausgabe Tabellen'!$C$23+Baukon_neu[[#This Row],[WDP '[m² weighted water/m²'] min]]/'Ausgabe Tabellen'!$C$24</f>
        <v>0</v>
      </c>
      <c r="AZ38" s="78">
        <f>Baukon_neu[[#This Row],[GWP '[kg CO2-Äqu./m²'] max]]/'Ausgabe Tabellen'!$C$21+Baukon_neu[[#This Row],[PENRT '[MJ/m²'] max]]/'Ausgabe Tabellen'!$C$22+Baukon_neu[[#This Row],[RMI '[kg Primärrohstoffe/m²'] max]]/'Ausgabe Tabellen'!$C$23+Baukon_neu[[#This Row],[WDP '[m² weighted water/m²'] max]]/'Ausgabe Tabellen'!$C$24</f>
        <v>0</v>
      </c>
    </row>
    <row r="39" spans="1:52" x14ac:dyDescent="0.65">
      <c r="A39" s="73" t="s">
        <v>244</v>
      </c>
      <c r="B39" s="74"/>
      <c r="C39" s="74"/>
      <c r="D39" s="74"/>
      <c r="E39" s="106" t="str">
        <f>Baukon_neu[[#This Row],[Variante Nummer]]&amp;". "&amp;Baukon_neu[[#This Row],[Name Baukonstruktion]]&amp;" | " &amp;Baukon_neu[[#This Row],[Variante Name]]</f>
        <v xml:space="preserve">.  | </v>
      </c>
      <c r="F39" s="128" t="str">
        <f>IF(IFERROR(_xlfn.XLOOKUP(Baukon_neu[[#This Row],[ID Baukonstruktion]],Baukon_alle_A1_A3_results[ID Baukonstruktion],Baukon_alle_A1_A3_results[ID Baukonstruktion]),"okay")="okay", "okay","Achtung, id wird bereits verwendet")</f>
        <v>okay</v>
      </c>
      <c r="G39" s="75"/>
      <c r="H39" s="73" t="s">
        <v>244</v>
      </c>
      <c r="I39" s="73" t="s">
        <v>244</v>
      </c>
      <c r="J39" s="74"/>
      <c r="K39" s="68">
        <f>IF(Baukon_neu[[#This Row],[ist Dämmstoff?]]="ja",Baukon_neu[[#This Row],[Dicke '[mm'] Referenz]]+_xlfn.XLOOKUP(RIGHT(Baukon_neu[[#Headers],[Dicke '[mm'] min]],3),Dämmstoffvarianten[Variante],Dämmstoffvarianten[Differenz Dämmstoffedicke zu Referenz '[mm']]),Baukon_neu[[#This Row],[Dicke '[mm'] Referenz]])</f>
        <v>0</v>
      </c>
      <c r="L39" s="68">
        <f>IF(Baukon_neu[[#This Row],[ist Dämmstoff?]]="ja",Baukon_neu[[#This Row],[Dicke '[mm'] Referenz]]+_xlfn.XLOOKUP(RIGHT(Baukon_neu[[#Headers],[Dicke '[mm'] max]],3),Dämmstoffvarianten[Variante],Dämmstoffvarianten[Differenz Dämmstoffedicke zu Referenz '[mm']]),Baukon_neu[[#This Row],[Dicke '[mm'] Referenz]])</f>
        <v>0</v>
      </c>
      <c r="M39" s="76">
        <v>1</v>
      </c>
      <c r="N39" s="75"/>
      <c r="O39" s="69">
        <f>IFERROR(Baukon_neu[[#This Row],[Dicke '[mm'] Referenz]]/1000*Baukon_neu[[#This Row],[Flächenanteil '[%']]],"")</f>
        <v>0</v>
      </c>
      <c r="P39" s="69">
        <f>IFERROR(Baukon_neu[[#This Row],[Dicke '[mm'] min]]/1000*Baukon_neu[[#This Row],[Flächenanteil '[%']]],"")</f>
        <v>0</v>
      </c>
      <c r="Q39" s="69">
        <f>IFERROR(Baukon_neu[[#This Row],[Dicke '[mm'] max]]/1000*Baukon_neu[[#This Row],[Flächenanteil '[%']]],"")</f>
        <v>0</v>
      </c>
      <c r="R39" s="77" t="s">
        <v>226</v>
      </c>
      <c r="S39" s="69" t="str">
        <f>IFERROR(_xlfn.XLOOKUP(Baukon_neu[[#This Row],[Produkt]],LeitRess_Materialien[Name],LeitRess_Materialien[Material_UUID]),"")</f>
        <v>0</v>
      </c>
      <c r="T39" s="69">
        <f>IF(OR(Baukon_neu[[#This Row],[Rohdichte '[kg/m³'], Eingabe ]]="", Baukon_neu[[#This Row],[Rohdichte '[kg/m³'], Eingabe ]]="0"),_xlfn.XLOOKUP(Baukon_neu[[#This Row],[LCA Datensatz]],LeitRess_Materialien[Material_UUID],LeitRess_Materialien[Rohdichte_'[kg/m3']]),Baukon_neu[[#This Row],[Rohdichte '[kg/m³'], Eingabe ]])</f>
        <v>0</v>
      </c>
      <c r="U39" s="69">
        <f>IF(OR(Baukon_neu[[#This Row],[Flächengewicht '[kg/m²'], Eingabe ]]="", Baukon_neu[[#This Row],[Flächengewicht '[kg/m²'], Eingabe ]]="0"),_xlfn.XLOOKUP(Baukon_neu[[#This Row],[LCA Datensatz]],LeitRess_Materialien[Material_UUID],LeitRess_Materialien[Flächengewicht_'[kg/m2']]),Baukon_neu[[#This Row],[Flächengewicht '[kg/m²'], Eingabe ]])</f>
        <v>0</v>
      </c>
      <c r="V39" s="69">
        <f>IF(OR(Baukon_neu[[#This Row],[Längengewicht '[kg/m'], Eingabe ]]="", Baukon_neu[[#This Row],[Längengewicht '[kg/m'], Eingabe ]]="0"),_xlfn.XLOOKUP(Baukon_neu[[#This Row],[LCA Datensatz]],LeitRess_Materialien[Material_UUID],LeitRess_Materialien[Längengewicht_'[kg/m']]),Baukon_neu[[#This Row],[Längengewicht '[kg/m'], Eingabe ]])</f>
        <v>0</v>
      </c>
      <c r="W39" s="69">
        <f>IF(OR(Baukon_neu[[#This Row],[lambda_'[W/mK'], Eingabe ]]="", Baukon_neu[[#This Row],[lambda_'[W/mK'], Eingabe ]]="0"),_xlfn.XLOOKUP(Baukon_neu[[#This Row],[LCA Datensatz]],LeitRess_Materialien[Material_UUID],LeitRess_Materialien[lambda_'[W/mK']]),Baukon_neu[[#This Row],[lambda_'[W/mK'], Eingabe ]])</f>
        <v>0</v>
      </c>
      <c r="X39" s="75"/>
      <c r="Y39" s="75"/>
      <c r="Z39" s="75"/>
      <c r="AA39" s="75"/>
      <c r="AB39" s="69">
        <f>IFERROR(
    IF(Baukon_neu[[#This Row],[Länge '[m/m²']]]*Baukon_neu[[#This Row],[Längengewicht '[kg/m']]]&lt;&gt;0, Baukon_neu[[#This Row],[Länge '[m/m²']]]*Baukon_neu[[#This Row],[Längengewicht '[kg/m']]],
       IF( Baukon_neu[[#This Row],[Volumen '[m³/m²'] Referenz]]*Baukon_neu[[#This Row],[Rohdichte '[kg/m³']]]&lt;&gt;0,
        Baukon_neu[[#This Row],[Volumen '[m³/m²'] Referenz]]*Baukon_neu[[#This Row],[Rohdichte '[kg/m³']]],
                Baukon_neu[[#This Row],[Flächenanteil '[%']]]*Baukon_neu[[#This Row],[Flächengewicht '[kg/m²']]])),"")</f>
        <v>0</v>
      </c>
      <c r="AC39" s="69">
        <f>IFERROR(
    IF(Baukon_neu[[#This Row],[Länge '[m/m²']]]*Baukon_neu[[#This Row],[Längengewicht '[kg/m']]]&lt;&gt;0, Baukon_neu[[#This Row],[Länge '[m/m²']]]*Baukon_neu[[#This Row],[Längengewicht '[kg/m']]],
       IF( Baukon_neu[[#This Row],[Volumen '[m³/m²'] min]]*Baukon_neu[[#This Row],[Rohdichte '[kg/m³']]]&lt;&gt;0,
        Baukon_neu[[#This Row],[Volumen '[m³/m²'] min]]*Baukon_neu[[#This Row],[Rohdichte '[kg/m³']]],
                Baukon_neu[[#This Row],[Flächenanteil '[%']]]*Baukon_neu[[#This Row],[Flächengewicht '[kg/m²']]])),"")</f>
        <v>0</v>
      </c>
      <c r="AD39" s="69">
        <f>IFERROR(
    IF(Baukon_neu[[#This Row],[Länge '[m/m²']]]*Baukon_neu[[#This Row],[Längengewicht '[kg/m']]]&lt;&gt;0, Baukon_neu[[#This Row],[Länge '[m/m²']]]*Baukon_neu[[#This Row],[Längengewicht '[kg/m']]],
       IF( Baukon_neu[[#This Row],[Volumen '[m³/m²'] max]]*Baukon_neu[[#This Row],[Rohdichte '[kg/m³']]]&lt;&gt;0,
        Baukon_neu[[#This Row],[Volumen '[m³/m²'] max]]*Baukon_neu[[#This Row],[Rohdichte '[kg/m³']]],
                Baukon_neu[[#This Row],[Flächenanteil '[%']]]*Baukon_neu[[#This Row],[Flächengewicht '[kg/m²']]])),"")</f>
        <v>0</v>
      </c>
      <c r="AE39" s="69" t="str">
        <f>IFERROR(Baukon_neu[[#This Row],[Dicke '[mm'] Referenz]]/Baukon_neu[[#This Row],[lambda_'[W/mK']]],"")</f>
        <v/>
      </c>
      <c r="AF39" s="70">
        <f>_xlfn.XLOOKUP(Baukon_neu[[#This Row],[LCA Datensatz]],LeitRess_Materialien[Material_UUID],LeitRess_Materialien[RMI '[kg Primärrohstoffe / kg']])*Baukon_neu[[#This Row],[Masse '[kg/m²'] Referenz]]</f>
        <v>0</v>
      </c>
      <c r="AG39" s="70">
        <f>_xlfn.XLOOKUP(Baukon_neu[[#This Row],[LCA Datensatz]],LeitRess_Materialien[Material_UUID],LeitRess_Materialien[RMI '[kg Primärrohstoffe / kg']])*Baukon_neu[[#This Row],[Masse '[kg/m²'] min]]</f>
        <v>0</v>
      </c>
      <c r="AH39" s="70">
        <f>_xlfn.XLOOKUP(Baukon_neu[[#This Row],[LCA Datensatz]],LeitRess_Materialien[Material_UUID],LeitRess_Materialien[RMI '[kg Primärrohstoffe / kg']])*Baukon_neu[[#This Row],[Masse '[kg/m²'] max]]</f>
        <v>0</v>
      </c>
      <c r="AI39" s="70">
        <f>_xlfn.XLOOKUP(Baukon_neu[[#This Row],[LCA Datensatz]],LeitRess_Materialien[Material_UUID],LeitRess_Materialien[TMR '[kg Gesamtmaterialaufwand/kg']])*Baukon_neu[[#This Row],[Masse '[kg/m²'] Referenz]]</f>
        <v>0</v>
      </c>
      <c r="AJ39" s="70">
        <f>_xlfn.XLOOKUP(Baukon_neu[[#This Row],[LCA Datensatz]],LeitRess_Materialien[Material_UUID],LeitRess_Materialien[TMR '[kg Gesamtmaterialaufwand/kg']])*Baukon_neu[[#This Row],[Masse '[kg/m²'] min]]</f>
        <v>0</v>
      </c>
      <c r="AK39" s="70">
        <f>_xlfn.XLOOKUP(Baukon_neu[[#This Row],[LCA Datensatz]],LeitRess_Materialien[Material_UUID],LeitRess_Materialien[TMR '[kg Gesamtmaterialaufwand/kg']])*Baukon_neu[[#This Row],[Masse '[kg/m²'] max]]</f>
        <v>0</v>
      </c>
      <c r="AL39" s="70">
        <f>_xlfn.XLOOKUP(Baukon_neu[[#This Row],[LCA Datensatz]],LeitRess_Materialien[Material_UUID],LeitRess_Materialien[GWP '[kg CO2-Äqu./kg']])*Baukon_neu[[#This Row],[Masse '[kg/m²'] Referenz]]</f>
        <v>0</v>
      </c>
      <c r="AM39" s="70">
        <f>_xlfn.XLOOKUP(Baukon_neu[[#This Row],[LCA Datensatz]],LeitRess_Materialien[Material_UUID],LeitRess_Materialien[GWP '[kg CO2-Äqu./kg']])*Baukon_neu[[#This Row],[Masse '[kg/m²'] min]]</f>
        <v>0</v>
      </c>
      <c r="AN39" s="70">
        <f>_xlfn.XLOOKUP(Baukon_neu[[#This Row],[LCA Datensatz]],LeitRess_Materialien[Material_UUID],LeitRess_Materialien[GWP '[kg CO2-Äqu./kg']])*Baukon_neu[[#This Row],[Masse '[kg/m²'] max]]</f>
        <v>0</v>
      </c>
      <c r="AO39" s="70">
        <f>_xlfn.XLOOKUP(Baukon_neu[[#This Row],[LCA Datensatz]],LeitRess_Materialien[Material_UUID],LeitRess_Materialien[PENRT '[MJ/kg']])*Baukon_neu[[#This Row],[Masse '[kg/m²'] Referenz]]</f>
        <v>0</v>
      </c>
      <c r="AP39" s="70">
        <f>_xlfn.XLOOKUP(Baukon_neu[[#This Row],[LCA Datensatz]],LeitRess_Materialien[Material_UUID],LeitRess_Materialien[PENRT '[MJ/kg']])*Baukon_neu[[#This Row],[Masse '[kg/m²'] min]]</f>
        <v>0</v>
      </c>
      <c r="AQ39" s="70">
        <f>_xlfn.XLOOKUP(Baukon_neu[[#This Row],[LCA Datensatz]],LeitRess_Materialien[Material_UUID],LeitRess_Materialien[PENRT '[MJ/kg']])*Baukon_neu[[#This Row],[Masse '[kg/m²'] max]]</f>
        <v>0</v>
      </c>
      <c r="AR39" s="70" t="e">
        <f>_xlfn.XLOOKUP(Baukon_neu[[#This Row],[LCA Datensatz]],LeitRess_Materialien[Material_UUID],#REF!)*Baukon_neu[[#This Row],[Masse '[kg/m²'] Referenz]]</f>
        <v>#REF!</v>
      </c>
      <c r="AS39" s="70" t="e">
        <f>_xlfn.XLOOKUP(Baukon_neu[[#This Row],[LCA Datensatz]],LeitRess_Materialien[Material_UUID],#REF!)*Baukon_neu[[#This Row],[Masse '[kg/m²'] min]]</f>
        <v>#REF!</v>
      </c>
      <c r="AT39" s="70" t="e">
        <f>_xlfn.XLOOKUP(Baukon_neu[[#This Row],[LCA Datensatz]],LeitRess_Materialien[Material_UUID],#REF!)*Baukon_neu[[#This Row],[Masse '[kg/m²'] max]]</f>
        <v>#REF!</v>
      </c>
      <c r="AU39" s="70">
        <f>_xlfn.XLOOKUP(Baukon_neu[[#This Row],[LCA Datensatz]],LeitRess_Materialien[Material_UUID],LeitRess_Materialien[WDP '[m³ weighted water/kg']])*Baukon_neu[[#This Row],[Masse '[kg/m²'] Referenz]]</f>
        <v>0</v>
      </c>
      <c r="AV39" s="70">
        <f>_xlfn.XLOOKUP(Baukon_neu[[#This Row],[LCA Datensatz]],LeitRess_Materialien[Material_UUID],LeitRess_Materialien[WDP '[m³ weighted water/kg']])*Baukon_neu[[#This Row],[Masse '[kg/m²'] min]]</f>
        <v>0</v>
      </c>
      <c r="AW39" s="70">
        <f>_xlfn.XLOOKUP(Baukon_neu[[#This Row],[LCA Datensatz]],LeitRess_Materialien[Material_UUID],LeitRess_Materialien[WDP '[m³ weighted water/kg']])*Baukon_neu[[#This Row],[Masse '[kg/m²'] max]]</f>
        <v>0</v>
      </c>
      <c r="AX39" s="78">
        <f>Baukon_neu[[#This Row],[GWP '[kg CO2-Äqu./m²'] Referenz]]/'Ausgabe Tabellen'!$C$21+Baukon_neu[[#This Row],[PENRT '[MJ/m²'] Referenz]]/'Ausgabe Tabellen'!$C$22+Baukon_neu[[#This Row],[RMI '[kg Primärrohstoffe/m²'] Referenz]]/'Ausgabe Tabellen'!$C$23+Baukon_neu[[#This Row],[WDP '[m² weighted water/m²'] Referenz]]/'Ausgabe Tabellen'!$C$24</f>
        <v>0</v>
      </c>
      <c r="AY39" s="78">
        <f>Baukon_neu[[#This Row],[GWP '[kg CO2-Äqu./m²'] min]]/'Ausgabe Tabellen'!$C$21+Baukon_neu[[#This Row],[PENRT '[MJ/m²'] min]]/'Ausgabe Tabellen'!$C$22+Baukon_neu[[#This Row],[RMI '[kg Primärrohstoffe/m²'] min]]/'Ausgabe Tabellen'!$C$23+Baukon_neu[[#This Row],[WDP '[m² weighted water/m²'] min]]/'Ausgabe Tabellen'!$C$24</f>
        <v>0</v>
      </c>
      <c r="AZ39" s="78">
        <f>Baukon_neu[[#This Row],[GWP '[kg CO2-Äqu./m²'] max]]/'Ausgabe Tabellen'!$C$21+Baukon_neu[[#This Row],[PENRT '[MJ/m²'] max]]/'Ausgabe Tabellen'!$C$22+Baukon_neu[[#This Row],[RMI '[kg Primärrohstoffe/m²'] max]]/'Ausgabe Tabellen'!$C$23+Baukon_neu[[#This Row],[WDP '[m² weighted water/m²'] max]]/'Ausgabe Tabellen'!$C$24</f>
        <v>0</v>
      </c>
    </row>
    <row r="40" spans="1:52" x14ac:dyDescent="0.65">
      <c r="A40" s="73" t="s">
        <v>244</v>
      </c>
      <c r="B40" s="74"/>
      <c r="C40" s="74"/>
      <c r="D40" s="74"/>
      <c r="E40" s="106" t="str">
        <f>Baukon_neu[[#This Row],[Variante Nummer]]&amp;". "&amp;Baukon_neu[[#This Row],[Name Baukonstruktion]]&amp;" | " &amp;Baukon_neu[[#This Row],[Variante Name]]</f>
        <v xml:space="preserve">.  | </v>
      </c>
      <c r="F40" s="128" t="str">
        <f>IF(IFERROR(_xlfn.XLOOKUP(Baukon_neu[[#This Row],[ID Baukonstruktion]],Baukon_alle_A1_A3_results[ID Baukonstruktion],Baukon_alle_A1_A3_results[ID Baukonstruktion]),"okay")="okay", "okay","Achtung, id wird bereits verwendet")</f>
        <v>okay</v>
      </c>
      <c r="G40" s="75"/>
      <c r="H40" s="73" t="s">
        <v>244</v>
      </c>
      <c r="I40" s="73" t="s">
        <v>244</v>
      </c>
      <c r="J40" s="74"/>
      <c r="K40" s="68">
        <f>IF(Baukon_neu[[#This Row],[ist Dämmstoff?]]="ja",Baukon_neu[[#This Row],[Dicke '[mm'] Referenz]]+_xlfn.XLOOKUP(RIGHT(Baukon_neu[[#Headers],[Dicke '[mm'] min]],3),Dämmstoffvarianten[Variante],Dämmstoffvarianten[Differenz Dämmstoffedicke zu Referenz '[mm']]),Baukon_neu[[#This Row],[Dicke '[mm'] Referenz]])</f>
        <v>0</v>
      </c>
      <c r="L40" s="68">
        <f>IF(Baukon_neu[[#This Row],[ist Dämmstoff?]]="ja",Baukon_neu[[#This Row],[Dicke '[mm'] Referenz]]+_xlfn.XLOOKUP(RIGHT(Baukon_neu[[#Headers],[Dicke '[mm'] max]],3),Dämmstoffvarianten[Variante],Dämmstoffvarianten[Differenz Dämmstoffedicke zu Referenz '[mm']]),Baukon_neu[[#This Row],[Dicke '[mm'] Referenz]])</f>
        <v>0</v>
      </c>
      <c r="M40" s="76">
        <v>1</v>
      </c>
      <c r="N40" s="75"/>
      <c r="O40" s="69">
        <f>IFERROR(Baukon_neu[[#This Row],[Dicke '[mm'] Referenz]]/1000*Baukon_neu[[#This Row],[Flächenanteil '[%']]],"")</f>
        <v>0</v>
      </c>
      <c r="P40" s="69">
        <f>IFERROR(Baukon_neu[[#This Row],[Dicke '[mm'] min]]/1000*Baukon_neu[[#This Row],[Flächenanteil '[%']]],"")</f>
        <v>0</v>
      </c>
      <c r="Q40" s="69">
        <f>IFERROR(Baukon_neu[[#This Row],[Dicke '[mm'] max]]/1000*Baukon_neu[[#This Row],[Flächenanteil '[%']]],"")</f>
        <v>0</v>
      </c>
      <c r="R40" s="77" t="s">
        <v>226</v>
      </c>
      <c r="S40" s="69" t="str">
        <f>IFERROR(_xlfn.XLOOKUP(Baukon_neu[[#This Row],[Produkt]],LeitRess_Materialien[Name],LeitRess_Materialien[Material_UUID]),"")</f>
        <v>0</v>
      </c>
      <c r="T40" s="69">
        <f>IF(OR(Baukon_neu[[#This Row],[Rohdichte '[kg/m³'], Eingabe ]]="", Baukon_neu[[#This Row],[Rohdichte '[kg/m³'], Eingabe ]]="0"),_xlfn.XLOOKUP(Baukon_neu[[#This Row],[LCA Datensatz]],LeitRess_Materialien[Material_UUID],LeitRess_Materialien[Rohdichte_'[kg/m3']]),Baukon_neu[[#This Row],[Rohdichte '[kg/m³'], Eingabe ]])</f>
        <v>0</v>
      </c>
      <c r="U40" s="69">
        <f>IF(OR(Baukon_neu[[#This Row],[Flächengewicht '[kg/m²'], Eingabe ]]="", Baukon_neu[[#This Row],[Flächengewicht '[kg/m²'], Eingabe ]]="0"),_xlfn.XLOOKUP(Baukon_neu[[#This Row],[LCA Datensatz]],LeitRess_Materialien[Material_UUID],LeitRess_Materialien[Flächengewicht_'[kg/m2']]),Baukon_neu[[#This Row],[Flächengewicht '[kg/m²'], Eingabe ]])</f>
        <v>0</v>
      </c>
      <c r="V40" s="69">
        <f>IF(OR(Baukon_neu[[#This Row],[Längengewicht '[kg/m'], Eingabe ]]="", Baukon_neu[[#This Row],[Längengewicht '[kg/m'], Eingabe ]]="0"),_xlfn.XLOOKUP(Baukon_neu[[#This Row],[LCA Datensatz]],LeitRess_Materialien[Material_UUID],LeitRess_Materialien[Längengewicht_'[kg/m']]),Baukon_neu[[#This Row],[Längengewicht '[kg/m'], Eingabe ]])</f>
        <v>0</v>
      </c>
      <c r="W40" s="69">
        <f>IF(OR(Baukon_neu[[#This Row],[lambda_'[W/mK'], Eingabe ]]="", Baukon_neu[[#This Row],[lambda_'[W/mK'], Eingabe ]]="0"),_xlfn.XLOOKUP(Baukon_neu[[#This Row],[LCA Datensatz]],LeitRess_Materialien[Material_UUID],LeitRess_Materialien[lambda_'[W/mK']]),Baukon_neu[[#This Row],[lambda_'[W/mK'], Eingabe ]])</f>
        <v>0</v>
      </c>
      <c r="X40" s="75"/>
      <c r="Y40" s="75"/>
      <c r="Z40" s="75"/>
      <c r="AA40" s="75"/>
      <c r="AB40" s="69">
        <f>IFERROR(
    IF(Baukon_neu[[#This Row],[Länge '[m/m²']]]*Baukon_neu[[#This Row],[Längengewicht '[kg/m']]]&lt;&gt;0, Baukon_neu[[#This Row],[Länge '[m/m²']]]*Baukon_neu[[#This Row],[Längengewicht '[kg/m']]],
       IF( Baukon_neu[[#This Row],[Volumen '[m³/m²'] Referenz]]*Baukon_neu[[#This Row],[Rohdichte '[kg/m³']]]&lt;&gt;0,
        Baukon_neu[[#This Row],[Volumen '[m³/m²'] Referenz]]*Baukon_neu[[#This Row],[Rohdichte '[kg/m³']]],
                Baukon_neu[[#This Row],[Flächenanteil '[%']]]*Baukon_neu[[#This Row],[Flächengewicht '[kg/m²']]])),"")</f>
        <v>0</v>
      </c>
      <c r="AC40" s="69">
        <f>IFERROR(
    IF(Baukon_neu[[#This Row],[Länge '[m/m²']]]*Baukon_neu[[#This Row],[Längengewicht '[kg/m']]]&lt;&gt;0, Baukon_neu[[#This Row],[Länge '[m/m²']]]*Baukon_neu[[#This Row],[Längengewicht '[kg/m']]],
       IF( Baukon_neu[[#This Row],[Volumen '[m³/m²'] min]]*Baukon_neu[[#This Row],[Rohdichte '[kg/m³']]]&lt;&gt;0,
        Baukon_neu[[#This Row],[Volumen '[m³/m²'] min]]*Baukon_neu[[#This Row],[Rohdichte '[kg/m³']]],
                Baukon_neu[[#This Row],[Flächenanteil '[%']]]*Baukon_neu[[#This Row],[Flächengewicht '[kg/m²']]])),"")</f>
        <v>0</v>
      </c>
      <c r="AD40" s="69">
        <f>IFERROR(
    IF(Baukon_neu[[#This Row],[Länge '[m/m²']]]*Baukon_neu[[#This Row],[Längengewicht '[kg/m']]]&lt;&gt;0, Baukon_neu[[#This Row],[Länge '[m/m²']]]*Baukon_neu[[#This Row],[Längengewicht '[kg/m']]],
       IF( Baukon_neu[[#This Row],[Volumen '[m³/m²'] max]]*Baukon_neu[[#This Row],[Rohdichte '[kg/m³']]]&lt;&gt;0,
        Baukon_neu[[#This Row],[Volumen '[m³/m²'] max]]*Baukon_neu[[#This Row],[Rohdichte '[kg/m³']]],
                Baukon_neu[[#This Row],[Flächenanteil '[%']]]*Baukon_neu[[#This Row],[Flächengewicht '[kg/m²']]])),"")</f>
        <v>0</v>
      </c>
      <c r="AE40" s="69" t="str">
        <f>IFERROR(Baukon_neu[[#This Row],[Dicke '[mm'] Referenz]]/Baukon_neu[[#This Row],[lambda_'[W/mK']]],"")</f>
        <v/>
      </c>
      <c r="AF40" s="70">
        <f>_xlfn.XLOOKUP(Baukon_neu[[#This Row],[LCA Datensatz]],LeitRess_Materialien[Material_UUID],LeitRess_Materialien[RMI '[kg Primärrohstoffe / kg']])*Baukon_neu[[#This Row],[Masse '[kg/m²'] Referenz]]</f>
        <v>0</v>
      </c>
      <c r="AG40" s="70">
        <f>_xlfn.XLOOKUP(Baukon_neu[[#This Row],[LCA Datensatz]],LeitRess_Materialien[Material_UUID],LeitRess_Materialien[RMI '[kg Primärrohstoffe / kg']])*Baukon_neu[[#This Row],[Masse '[kg/m²'] min]]</f>
        <v>0</v>
      </c>
      <c r="AH40" s="70">
        <f>_xlfn.XLOOKUP(Baukon_neu[[#This Row],[LCA Datensatz]],LeitRess_Materialien[Material_UUID],LeitRess_Materialien[RMI '[kg Primärrohstoffe / kg']])*Baukon_neu[[#This Row],[Masse '[kg/m²'] max]]</f>
        <v>0</v>
      </c>
      <c r="AI40" s="70">
        <f>_xlfn.XLOOKUP(Baukon_neu[[#This Row],[LCA Datensatz]],LeitRess_Materialien[Material_UUID],LeitRess_Materialien[TMR '[kg Gesamtmaterialaufwand/kg']])*Baukon_neu[[#This Row],[Masse '[kg/m²'] Referenz]]</f>
        <v>0</v>
      </c>
      <c r="AJ40" s="70">
        <f>_xlfn.XLOOKUP(Baukon_neu[[#This Row],[LCA Datensatz]],LeitRess_Materialien[Material_UUID],LeitRess_Materialien[TMR '[kg Gesamtmaterialaufwand/kg']])*Baukon_neu[[#This Row],[Masse '[kg/m²'] min]]</f>
        <v>0</v>
      </c>
      <c r="AK40" s="70">
        <f>_xlfn.XLOOKUP(Baukon_neu[[#This Row],[LCA Datensatz]],LeitRess_Materialien[Material_UUID],LeitRess_Materialien[TMR '[kg Gesamtmaterialaufwand/kg']])*Baukon_neu[[#This Row],[Masse '[kg/m²'] max]]</f>
        <v>0</v>
      </c>
      <c r="AL40" s="70">
        <f>_xlfn.XLOOKUP(Baukon_neu[[#This Row],[LCA Datensatz]],LeitRess_Materialien[Material_UUID],LeitRess_Materialien[GWP '[kg CO2-Äqu./kg']])*Baukon_neu[[#This Row],[Masse '[kg/m²'] Referenz]]</f>
        <v>0</v>
      </c>
      <c r="AM40" s="70">
        <f>_xlfn.XLOOKUP(Baukon_neu[[#This Row],[LCA Datensatz]],LeitRess_Materialien[Material_UUID],LeitRess_Materialien[GWP '[kg CO2-Äqu./kg']])*Baukon_neu[[#This Row],[Masse '[kg/m²'] min]]</f>
        <v>0</v>
      </c>
      <c r="AN40" s="70">
        <f>_xlfn.XLOOKUP(Baukon_neu[[#This Row],[LCA Datensatz]],LeitRess_Materialien[Material_UUID],LeitRess_Materialien[GWP '[kg CO2-Äqu./kg']])*Baukon_neu[[#This Row],[Masse '[kg/m²'] max]]</f>
        <v>0</v>
      </c>
      <c r="AO40" s="70">
        <f>_xlfn.XLOOKUP(Baukon_neu[[#This Row],[LCA Datensatz]],LeitRess_Materialien[Material_UUID],LeitRess_Materialien[PENRT '[MJ/kg']])*Baukon_neu[[#This Row],[Masse '[kg/m²'] Referenz]]</f>
        <v>0</v>
      </c>
      <c r="AP40" s="70">
        <f>_xlfn.XLOOKUP(Baukon_neu[[#This Row],[LCA Datensatz]],LeitRess_Materialien[Material_UUID],LeitRess_Materialien[PENRT '[MJ/kg']])*Baukon_neu[[#This Row],[Masse '[kg/m²'] min]]</f>
        <v>0</v>
      </c>
      <c r="AQ40" s="70">
        <f>_xlfn.XLOOKUP(Baukon_neu[[#This Row],[LCA Datensatz]],LeitRess_Materialien[Material_UUID],LeitRess_Materialien[PENRT '[MJ/kg']])*Baukon_neu[[#This Row],[Masse '[kg/m²'] max]]</f>
        <v>0</v>
      </c>
      <c r="AR40" s="70" t="e">
        <f>_xlfn.XLOOKUP(Baukon_neu[[#This Row],[LCA Datensatz]],LeitRess_Materialien[Material_UUID],#REF!)*Baukon_neu[[#This Row],[Masse '[kg/m²'] Referenz]]</f>
        <v>#REF!</v>
      </c>
      <c r="AS40" s="70" t="e">
        <f>_xlfn.XLOOKUP(Baukon_neu[[#This Row],[LCA Datensatz]],LeitRess_Materialien[Material_UUID],#REF!)*Baukon_neu[[#This Row],[Masse '[kg/m²'] min]]</f>
        <v>#REF!</v>
      </c>
      <c r="AT40" s="70" t="e">
        <f>_xlfn.XLOOKUP(Baukon_neu[[#This Row],[LCA Datensatz]],LeitRess_Materialien[Material_UUID],#REF!)*Baukon_neu[[#This Row],[Masse '[kg/m²'] max]]</f>
        <v>#REF!</v>
      </c>
      <c r="AU40" s="70">
        <f>_xlfn.XLOOKUP(Baukon_neu[[#This Row],[LCA Datensatz]],LeitRess_Materialien[Material_UUID],LeitRess_Materialien[WDP '[m³ weighted water/kg']])*Baukon_neu[[#This Row],[Masse '[kg/m²'] Referenz]]</f>
        <v>0</v>
      </c>
      <c r="AV40" s="70">
        <f>_xlfn.XLOOKUP(Baukon_neu[[#This Row],[LCA Datensatz]],LeitRess_Materialien[Material_UUID],LeitRess_Materialien[WDP '[m³ weighted water/kg']])*Baukon_neu[[#This Row],[Masse '[kg/m²'] min]]</f>
        <v>0</v>
      </c>
      <c r="AW40" s="70">
        <f>_xlfn.XLOOKUP(Baukon_neu[[#This Row],[LCA Datensatz]],LeitRess_Materialien[Material_UUID],LeitRess_Materialien[WDP '[m³ weighted water/kg']])*Baukon_neu[[#This Row],[Masse '[kg/m²'] max]]</f>
        <v>0</v>
      </c>
      <c r="AX40" s="78">
        <f>Baukon_neu[[#This Row],[GWP '[kg CO2-Äqu./m²'] Referenz]]/'Ausgabe Tabellen'!$C$21+Baukon_neu[[#This Row],[PENRT '[MJ/m²'] Referenz]]/'Ausgabe Tabellen'!$C$22+Baukon_neu[[#This Row],[RMI '[kg Primärrohstoffe/m²'] Referenz]]/'Ausgabe Tabellen'!$C$23+Baukon_neu[[#This Row],[WDP '[m² weighted water/m²'] Referenz]]/'Ausgabe Tabellen'!$C$24</f>
        <v>0</v>
      </c>
      <c r="AY40" s="78">
        <f>Baukon_neu[[#This Row],[GWP '[kg CO2-Äqu./m²'] min]]/'Ausgabe Tabellen'!$C$21+Baukon_neu[[#This Row],[PENRT '[MJ/m²'] min]]/'Ausgabe Tabellen'!$C$22+Baukon_neu[[#This Row],[RMI '[kg Primärrohstoffe/m²'] min]]/'Ausgabe Tabellen'!$C$23+Baukon_neu[[#This Row],[WDP '[m² weighted water/m²'] min]]/'Ausgabe Tabellen'!$C$24</f>
        <v>0</v>
      </c>
      <c r="AZ40" s="78">
        <f>Baukon_neu[[#This Row],[GWP '[kg CO2-Äqu./m²'] max]]/'Ausgabe Tabellen'!$C$21+Baukon_neu[[#This Row],[PENRT '[MJ/m²'] max]]/'Ausgabe Tabellen'!$C$22+Baukon_neu[[#This Row],[RMI '[kg Primärrohstoffe/m²'] max]]/'Ausgabe Tabellen'!$C$23+Baukon_neu[[#This Row],[WDP '[m² weighted water/m²'] max]]/'Ausgabe Tabellen'!$C$24</f>
        <v>0</v>
      </c>
    </row>
    <row r="41" spans="1:52" x14ac:dyDescent="0.65">
      <c r="A41" s="73" t="s">
        <v>244</v>
      </c>
      <c r="B41" s="74"/>
      <c r="C41" s="74"/>
      <c r="D41" s="74"/>
      <c r="E41" s="106" t="str">
        <f>Baukon_neu[[#This Row],[Variante Nummer]]&amp;". "&amp;Baukon_neu[[#This Row],[Name Baukonstruktion]]&amp;" | " &amp;Baukon_neu[[#This Row],[Variante Name]]</f>
        <v xml:space="preserve">.  | </v>
      </c>
      <c r="F41" s="128" t="str">
        <f>IF(IFERROR(_xlfn.XLOOKUP(Baukon_neu[[#This Row],[ID Baukonstruktion]],Baukon_alle_A1_A3_results[ID Baukonstruktion],Baukon_alle_A1_A3_results[ID Baukonstruktion]),"okay")="okay", "okay","Achtung, id wird bereits verwendet")</f>
        <v>okay</v>
      </c>
      <c r="G41" s="75"/>
      <c r="H41" s="73" t="s">
        <v>244</v>
      </c>
      <c r="I41" s="73" t="s">
        <v>244</v>
      </c>
      <c r="J41" s="74"/>
      <c r="K41" s="68">
        <f>IF(Baukon_neu[[#This Row],[ist Dämmstoff?]]="ja",Baukon_neu[[#This Row],[Dicke '[mm'] Referenz]]+_xlfn.XLOOKUP(RIGHT(Baukon_neu[[#Headers],[Dicke '[mm'] min]],3),Dämmstoffvarianten[Variante],Dämmstoffvarianten[Differenz Dämmstoffedicke zu Referenz '[mm']]),Baukon_neu[[#This Row],[Dicke '[mm'] Referenz]])</f>
        <v>0</v>
      </c>
      <c r="L41" s="68">
        <f>IF(Baukon_neu[[#This Row],[ist Dämmstoff?]]="ja",Baukon_neu[[#This Row],[Dicke '[mm'] Referenz]]+_xlfn.XLOOKUP(RIGHT(Baukon_neu[[#Headers],[Dicke '[mm'] max]],3),Dämmstoffvarianten[Variante],Dämmstoffvarianten[Differenz Dämmstoffedicke zu Referenz '[mm']]),Baukon_neu[[#This Row],[Dicke '[mm'] Referenz]])</f>
        <v>0</v>
      </c>
      <c r="M41" s="76">
        <v>1</v>
      </c>
      <c r="N41" s="75"/>
      <c r="O41" s="69">
        <f>IFERROR(Baukon_neu[[#This Row],[Dicke '[mm'] Referenz]]/1000*Baukon_neu[[#This Row],[Flächenanteil '[%']]],"")</f>
        <v>0</v>
      </c>
      <c r="P41" s="69">
        <f>IFERROR(Baukon_neu[[#This Row],[Dicke '[mm'] min]]/1000*Baukon_neu[[#This Row],[Flächenanteil '[%']]],"")</f>
        <v>0</v>
      </c>
      <c r="Q41" s="69">
        <f>IFERROR(Baukon_neu[[#This Row],[Dicke '[mm'] max]]/1000*Baukon_neu[[#This Row],[Flächenanteil '[%']]],"")</f>
        <v>0</v>
      </c>
      <c r="R41" s="77" t="s">
        <v>226</v>
      </c>
      <c r="S41" s="69" t="str">
        <f>IFERROR(_xlfn.XLOOKUP(Baukon_neu[[#This Row],[Produkt]],LeitRess_Materialien[Name],LeitRess_Materialien[Material_UUID]),"")</f>
        <v>0</v>
      </c>
      <c r="T41" s="69">
        <f>IF(OR(Baukon_neu[[#This Row],[Rohdichte '[kg/m³'], Eingabe ]]="", Baukon_neu[[#This Row],[Rohdichte '[kg/m³'], Eingabe ]]="0"),_xlfn.XLOOKUP(Baukon_neu[[#This Row],[LCA Datensatz]],LeitRess_Materialien[Material_UUID],LeitRess_Materialien[Rohdichte_'[kg/m3']]),Baukon_neu[[#This Row],[Rohdichte '[kg/m³'], Eingabe ]])</f>
        <v>0</v>
      </c>
      <c r="U41" s="69">
        <f>IF(OR(Baukon_neu[[#This Row],[Flächengewicht '[kg/m²'], Eingabe ]]="", Baukon_neu[[#This Row],[Flächengewicht '[kg/m²'], Eingabe ]]="0"),_xlfn.XLOOKUP(Baukon_neu[[#This Row],[LCA Datensatz]],LeitRess_Materialien[Material_UUID],LeitRess_Materialien[Flächengewicht_'[kg/m2']]),Baukon_neu[[#This Row],[Flächengewicht '[kg/m²'], Eingabe ]])</f>
        <v>0</v>
      </c>
      <c r="V41" s="69">
        <f>IF(OR(Baukon_neu[[#This Row],[Längengewicht '[kg/m'], Eingabe ]]="", Baukon_neu[[#This Row],[Längengewicht '[kg/m'], Eingabe ]]="0"),_xlfn.XLOOKUP(Baukon_neu[[#This Row],[LCA Datensatz]],LeitRess_Materialien[Material_UUID],LeitRess_Materialien[Längengewicht_'[kg/m']]),Baukon_neu[[#This Row],[Längengewicht '[kg/m'], Eingabe ]])</f>
        <v>0</v>
      </c>
      <c r="W41" s="69">
        <f>IF(OR(Baukon_neu[[#This Row],[lambda_'[W/mK'], Eingabe ]]="", Baukon_neu[[#This Row],[lambda_'[W/mK'], Eingabe ]]="0"),_xlfn.XLOOKUP(Baukon_neu[[#This Row],[LCA Datensatz]],LeitRess_Materialien[Material_UUID],LeitRess_Materialien[lambda_'[W/mK']]),Baukon_neu[[#This Row],[lambda_'[W/mK'], Eingabe ]])</f>
        <v>0</v>
      </c>
      <c r="X41" s="75"/>
      <c r="Y41" s="75"/>
      <c r="Z41" s="75"/>
      <c r="AA41" s="75"/>
      <c r="AB41" s="69">
        <f>IFERROR(
    IF(Baukon_neu[[#This Row],[Länge '[m/m²']]]*Baukon_neu[[#This Row],[Längengewicht '[kg/m']]]&lt;&gt;0, Baukon_neu[[#This Row],[Länge '[m/m²']]]*Baukon_neu[[#This Row],[Längengewicht '[kg/m']]],
       IF( Baukon_neu[[#This Row],[Volumen '[m³/m²'] Referenz]]*Baukon_neu[[#This Row],[Rohdichte '[kg/m³']]]&lt;&gt;0,
        Baukon_neu[[#This Row],[Volumen '[m³/m²'] Referenz]]*Baukon_neu[[#This Row],[Rohdichte '[kg/m³']]],
                Baukon_neu[[#This Row],[Flächenanteil '[%']]]*Baukon_neu[[#This Row],[Flächengewicht '[kg/m²']]])),"")</f>
        <v>0</v>
      </c>
      <c r="AC41" s="69">
        <f>IFERROR(
    IF(Baukon_neu[[#This Row],[Länge '[m/m²']]]*Baukon_neu[[#This Row],[Längengewicht '[kg/m']]]&lt;&gt;0, Baukon_neu[[#This Row],[Länge '[m/m²']]]*Baukon_neu[[#This Row],[Längengewicht '[kg/m']]],
       IF( Baukon_neu[[#This Row],[Volumen '[m³/m²'] min]]*Baukon_neu[[#This Row],[Rohdichte '[kg/m³']]]&lt;&gt;0,
        Baukon_neu[[#This Row],[Volumen '[m³/m²'] min]]*Baukon_neu[[#This Row],[Rohdichte '[kg/m³']]],
                Baukon_neu[[#This Row],[Flächenanteil '[%']]]*Baukon_neu[[#This Row],[Flächengewicht '[kg/m²']]])),"")</f>
        <v>0</v>
      </c>
      <c r="AD41" s="69">
        <f>IFERROR(
    IF(Baukon_neu[[#This Row],[Länge '[m/m²']]]*Baukon_neu[[#This Row],[Längengewicht '[kg/m']]]&lt;&gt;0, Baukon_neu[[#This Row],[Länge '[m/m²']]]*Baukon_neu[[#This Row],[Längengewicht '[kg/m']]],
       IF( Baukon_neu[[#This Row],[Volumen '[m³/m²'] max]]*Baukon_neu[[#This Row],[Rohdichte '[kg/m³']]]&lt;&gt;0,
        Baukon_neu[[#This Row],[Volumen '[m³/m²'] max]]*Baukon_neu[[#This Row],[Rohdichte '[kg/m³']]],
                Baukon_neu[[#This Row],[Flächenanteil '[%']]]*Baukon_neu[[#This Row],[Flächengewicht '[kg/m²']]])),"")</f>
        <v>0</v>
      </c>
      <c r="AE41" s="69" t="str">
        <f>IFERROR(Baukon_neu[[#This Row],[Dicke '[mm'] Referenz]]/Baukon_neu[[#This Row],[lambda_'[W/mK']]],"")</f>
        <v/>
      </c>
      <c r="AF41" s="70">
        <f>_xlfn.XLOOKUP(Baukon_neu[[#This Row],[LCA Datensatz]],LeitRess_Materialien[Material_UUID],LeitRess_Materialien[RMI '[kg Primärrohstoffe / kg']])*Baukon_neu[[#This Row],[Masse '[kg/m²'] Referenz]]</f>
        <v>0</v>
      </c>
      <c r="AG41" s="70">
        <f>_xlfn.XLOOKUP(Baukon_neu[[#This Row],[LCA Datensatz]],LeitRess_Materialien[Material_UUID],LeitRess_Materialien[RMI '[kg Primärrohstoffe / kg']])*Baukon_neu[[#This Row],[Masse '[kg/m²'] min]]</f>
        <v>0</v>
      </c>
      <c r="AH41" s="70">
        <f>_xlfn.XLOOKUP(Baukon_neu[[#This Row],[LCA Datensatz]],LeitRess_Materialien[Material_UUID],LeitRess_Materialien[RMI '[kg Primärrohstoffe / kg']])*Baukon_neu[[#This Row],[Masse '[kg/m²'] max]]</f>
        <v>0</v>
      </c>
      <c r="AI41" s="70">
        <f>_xlfn.XLOOKUP(Baukon_neu[[#This Row],[LCA Datensatz]],LeitRess_Materialien[Material_UUID],LeitRess_Materialien[TMR '[kg Gesamtmaterialaufwand/kg']])*Baukon_neu[[#This Row],[Masse '[kg/m²'] Referenz]]</f>
        <v>0</v>
      </c>
      <c r="AJ41" s="70">
        <f>_xlfn.XLOOKUP(Baukon_neu[[#This Row],[LCA Datensatz]],LeitRess_Materialien[Material_UUID],LeitRess_Materialien[TMR '[kg Gesamtmaterialaufwand/kg']])*Baukon_neu[[#This Row],[Masse '[kg/m²'] min]]</f>
        <v>0</v>
      </c>
      <c r="AK41" s="70">
        <f>_xlfn.XLOOKUP(Baukon_neu[[#This Row],[LCA Datensatz]],LeitRess_Materialien[Material_UUID],LeitRess_Materialien[TMR '[kg Gesamtmaterialaufwand/kg']])*Baukon_neu[[#This Row],[Masse '[kg/m²'] max]]</f>
        <v>0</v>
      </c>
      <c r="AL41" s="70">
        <f>_xlfn.XLOOKUP(Baukon_neu[[#This Row],[LCA Datensatz]],LeitRess_Materialien[Material_UUID],LeitRess_Materialien[GWP '[kg CO2-Äqu./kg']])*Baukon_neu[[#This Row],[Masse '[kg/m²'] Referenz]]</f>
        <v>0</v>
      </c>
      <c r="AM41" s="70">
        <f>_xlfn.XLOOKUP(Baukon_neu[[#This Row],[LCA Datensatz]],LeitRess_Materialien[Material_UUID],LeitRess_Materialien[GWP '[kg CO2-Äqu./kg']])*Baukon_neu[[#This Row],[Masse '[kg/m²'] min]]</f>
        <v>0</v>
      </c>
      <c r="AN41" s="70">
        <f>_xlfn.XLOOKUP(Baukon_neu[[#This Row],[LCA Datensatz]],LeitRess_Materialien[Material_UUID],LeitRess_Materialien[GWP '[kg CO2-Äqu./kg']])*Baukon_neu[[#This Row],[Masse '[kg/m²'] max]]</f>
        <v>0</v>
      </c>
      <c r="AO41" s="70">
        <f>_xlfn.XLOOKUP(Baukon_neu[[#This Row],[LCA Datensatz]],LeitRess_Materialien[Material_UUID],LeitRess_Materialien[PENRT '[MJ/kg']])*Baukon_neu[[#This Row],[Masse '[kg/m²'] Referenz]]</f>
        <v>0</v>
      </c>
      <c r="AP41" s="70">
        <f>_xlfn.XLOOKUP(Baukon_neu[[#This Row],[LCA Datensatz]],LeitRess_Materialien[Material_UUID],LeitRess_Materialien[PENRT '[MJ/kg']])*Baukon_neu[[#This Row],[Masse '[kg/m²'] min]]</f>
        <v>0</v>
      </c>
      <c r="AQ41" s="70">
        <f>_xlfn.XLOOKUP(Baukon_neu[[#This Row],[LCA Datensatz]],LeitRess_Materialien[Material_UUID],LeitRess_Materialien[PENRT '[MJ/kg']])*Baukon_neu[[#This Row],[Masse '[kg/m²'] max]]</f>
        <v>0</v>
      </c>
      <c r="AR41" s="70" t="e">
        <f>_xlfn.XLOOKUP(Baukon_neu[[#This Row],[LCA Datensatz]],LeitRess_Materialien[Material_UUID],#REF!)*Baukon_neu[[#This Row],[Masse '[kg/m²'] Referenz]]</f>
        <v>#REF!</v>
      </c>
      <c r="AS41" s="70" t="e">
        <f>_xlfn.XLOOKUP(Baukon_neu[[#This Row],[LCA Datensatz]],LeitRess_Materialien[Material_UUID],#REF!)*Baukon_neu[[#This Row],[Masse '[kg/m²'] min]]</f>
        <v>#REF!</v>
      </c>
      <c r="AT41" s="70" t="e">
        <f>_xlfn.XLOOKUP(Baukon_neu[[#This Row],[LCA Datensatz]],LeitRess_Materialien[Material_UUID],#REF!)*Baukon_neu[[#This Row],[Masse '[kg/m²'] max]]</f>
        <v>#REF!</v>
      </c>
      <c r="AU41" s="70">
        <f>_xlfn.XLOOKUP(Baukon_neu[[#This Row],[LCA Datensatz]],LeitRess_Materialien[Material_UUID],LeitRess_Materialien[WDP '[m³ weighted water/kg']])*Baukon_neu[[#This Row],[Masse '[kg/m²'] Referenz]]</f>
        <v>0</v>
      </c>
      <c r="AV41" s="70">
        <f>_xlfn.XLOOKUP(Baukon_neu[[#This Row],[LCA Datensatz]],LeitRess_Materialien[Material_UUID],LeitRess_Materialien[WDP '[m³ weighted water/kg']])*Baukon_neu[[#This Row],[Masse '[kg/m²'] min]]</f>
        <v>0</v>
      </c>
      <c r="AW41" s="70">
        <f>_xlfn.XLOOKUP(Baukon_neu[[#This Row],[LCA Datensatz]],LeitRess_Materialien[Material_UUID],LeitRess_Materialien[WDP '[m³ weighted water/kg']])*Baukon_neu[[#This Row],[Masse '[kg/m²'] max]]</f>
        <v>0</v>
      </c>
      <c r="AX41" s="78">
        <f>Baukon_neu[[#This Row],[GWP '[kg CO2-Äqu./m²'] Referenz]]/'Ausgabe Tabellen'!$C$21+Baukon_neu[[#This Row],[PENRT '[MJ/m²'] Referenz]]/'Ausgabe Tabellen'!$C$22+Baukon_neu[[#This Row],[RMI '[kg Primärrohstoffe/m²'] Referenz]]/'Ausgabe Tabellen'!$C$23+Baukon_neu[[#This Row],[WDP '[m² weighted water/m²'] Referenz]]/'Ausgabe Tabellen'!$C$24</f>
        <v>0</v>
      </c>
      <c r="AY41" s="78">
        <f>Baukon_neu[[#This Row],[GWP '[kg CO2-Äqu./m²'] min]]/'Ausgabe Tabellen'!$C$21+Baukon_neu[[#This Row],[PENRT '[MJ/m²'] min]]/'Ausgabe Tabellen'!$C$22+Baukon_neu[[#This Row],[RMI '[kg Primärrohstoffe/m²'] min]]/'Ausgabe Tabellen'!$C$23+Baukon_neu[[#This Row],[WDP '[m² weighted water/m²'] min]]/'Ausgabe Tabellen'!$C$24</f>
        <v>0</v>
      </c>
      <c r="AZ41" s="78">
        <f>Baukon_neu[[#This Row],[GWP '[kg CO2-Äqu./m²'] max]]/'Ausgabe Tabellen'!$C$21+Baukon_neu[[#This Row],[PENRT '[MJ/m²'] max]]/'Ausgabe Tabellen'!$C$22+Baukon_neu[[#This Row],[RMI '[kg Primärrohstoffe/m²'] max]]/'Ausgabe Tabellen'!$C$23+Baukon_neu[[#This Row],[WDP '[m² weighted water/m²'] max]]/'Ausgabe Tabellen'!$C$24</f>
        <v>0</v>
      </c>
    </row>
    <row r="42" spans="1:52" x14ac:dyDescent="0.65">
      <c r="A42" s="73" t="s">
        <v>244</v>
      </c>
      <c r="B42" s="74"/>
      <c r="C42" s="74"/>
      <c r="D42" s="74"/>
      <c r="E42" s="106" t="str">
        <f>Baukon_neu[[#This Row],[Variante Nummer]]&amp;". "&amp;Baukon_neu[[#This Row],[Name Baukonstruktion]]&amp;" | " &amp;Baukon_neu[[#This Row],[Variante Name]]</f>
        <v xml:space="preserve">.  | </v>
      </c>
      <c r="F42" s="128" t="str">
        <f>IF(IFERROR(_xlfn.XLOOKUP(Baukon_neu[[#This Row],[ID Baukonstruktion]],Baukon_alle_A1_A3_results[ID Baukonstruktion],Baukon_alle_A1_A3_results[ID Baukonstruktion]),"okay")="okay", "okay","Achtung, id wird bereits verwendet")</f>
        <v>okay</v>
      </c>
      <c r="G42" s="75"/>
      <c r="H42" s="73" t="s">
        <v>244</v>
      </c>
      <c r="I42" s="73" t="s">
        <v>244</v>
      </c>
      <c r="J42" s="74"/>
      <c r="K42" s="68">
        <f>IF(Baukon_neu[[#This Row],[ist Dämmstoff?]]="ja",Baukon_neu[[#This Row],[Dicke '[mm'] Referenz]]+_xlfn.XLOOKUP(RIGHT(Baukon_neu[[#Headers],[Dicke '[mm'] min]],3),Dämmstoffvarianten[Variante],Dämmstoffvarianten[Differenz Dämmstoffedicke zu Referenz '[mm']]),Baukon_neu[[#This Row],[Dicke '[mm'] Referenz]])</f>
        <v>0</v>
      </c>
      <c r="L42" s="68">
        <f>IF(Baukon_neu[[#This Row],[ist Dämmstoff?]]="ja",Baukon_neu[[#This Row],[Dicke '[mm'] Referenz]]+_xlfn.XLOOKUP(RIGHT(Baukon_neu[[#Headers],[Dicke '[mm'] max]],3),Dämmstoffvarianten[Variante],Dämmstoffvarianten[Differenz Dämmstoffedicke zu Referenz '[mm']]),Baukon_neu[[#This Row],[Dicke '[mm'] Referenz]])</f>
        <v>0</v>
      </c>
      <c r="M42" s="76">
        <v>1</v>
      </c>
      <c r="N42" s="75"/>
      <c r="O42" s="69">
        <f>IFERROR(Baukon_neu[[#This Row],[Dicke '[mm'] Referenz]]/1000*Baukon_neu[[#This Row],[Flächenanteil '[%']]],"")</f>
        <v>0</v>
      </c>
      <c r="P42" s="69">
        <f>IFERROR(Baukon_neu[[#This Row],[Dicke '[mm'] min]]/1000*Baukon_neu[[#This Row],[Flächenanteil '[%']]],"")</f>
        <v>0</v>
      </c>
      <c r="Q42" s="69">
        <f>IFERROR(Baukon_neu[[#This Row],[Dicke '[mm'] max]]/1000*Baukon_neu[[#This Row],[Flächenanteil '[%']]],"")</f>
        <v>0</v>
      </c>
      <c r="R42" s="77" t="s">
        <v>226</v>
      </c>
      <c r="S42" s="69" t="str">
        <f>IFERROR(_xlfn.XLOOKUP(Baukon_neu[[#This Row],[Produkt]],LeitRess_Materialien[Name],LeitRess_Materialien[Material_UUID]),"")</f>
        <v>0</v>
      </c>
      <c r="T42" s="69">
        <f>IF(OR(Baukon_neu[[#This Row],[Rohdichte '[kg/m³'], Eingabe ]]="", Baukon_neu[[#This Row],[Rohdichte '[kg/m³'], Eingabe ]]="0"),_xlfn.XLOOKUP(Baukon_neu[[#This Row],[LCA Datensatz]],LeitRess_Materialien[Material_UUID],LeitRess_Materialien[Rohdichte_'[kg/m3']]),Baukon_neu[[#This Row],[Rohdichte '[kg/m³'], Eingabe ]])</f>
        <v>0</v>
      </c>
      <c r="U42" s="69">
        <f>IF(OR(Baukon_neu[[#This Row],[Flächengewicht '[kg/m²'], Eingabe ]]="", Baukon_neu[[#This Row],[Flächengewicht '[kg/m²'], Eingabe ]]="0"),_xlfn.XLOOKUP(Baukon_neu[[#This Row],[LCA Datensatz]],LeitRess_Materialien[Material_UUID],LeitRess_Materialien[Flächengewicht_'[kg/m2']]),Baukon_neu[[#This Row],[Flächengewicht '[kg/m²'], Eingabe ]])</f>
        <v>0</v>
      </c>
      <c r="V42" s="69">
        <f>IF(OR(Baukon_neu[[#This Row],[Längengewicht '[kg/m'], Eingabe ]]="", Baukon_neu[[#This Row],[Längengewicht '[kg/m'], Eingabe ]]="0"),_xlfn.XLOOKUP(Baukon_neu[[#This Row],[LCA Datensatz]],LeitRess_Materialien[Material_UUID],LeitRess_Materialien[Längengewicht_'[kg/m']]),Baukon_neu[[#This Row],[Längengewicht '[kg/m'], Eingabe ]])</f>
        <v>0</v>
      </c>
      <c r="W42" s="69">
        <f>IF(OR(Baukon_neu[[#This Row],[lambda_'[W/mK'], Eingabe ]]="", Baukon_neu[[#This Row],[lambda_'[W/mK'], Eingabe ]]="0"),_xlfn.XLOOKUP(Baukon_neu[[#This Row],[LCA Datensatz]],LeitRess_Materialien[Material_UUID],LeitRess_Materialien[lambda_'[W/mK']]),Baukon_neu[[#This Row],[lambda_'[W/mK'], Eingabe ]])</f>
        <v>0</v>
      </c>
      <c r="X42" s="75"/>
      <c r="Y42" s="75"/>
      <c r="Z42" s="75"/>
      <c r="AA42" s="75"/>
      <c r="AB42" s="69">
        <f>IFERROR(
    IF(Baukon_neu[[#This Row],[Länge '[m/m²']]]*Baukon_neu[[#This Row],[Längengewicht '[kg/m']]]&lt;&gt;0, Baukon_neu[[#This Row],[Länge '[m/m²']]]*Baukon_neu[[#This Row],[Längengewicht '[kg/m']]],
       IF( Baukon_neu[[#This Row],[Volumen '[m³/m²'] Referenz]]*Baukon_neu[[#This Row],[Rohdichte '[kg/m³']]]&lt;&gt;0,
        Baukon_neu[[#This Row],[Volumen '[m³/m²'] Referenz]]*Baukon_neu[[#This Row],[Rohdichte '[kg/m³']]],
                Baukon_neu[[#This Row],[Flächenanteil '[%']]]*Baukon_neu[[#This Row],[Flächengewicht '[kg/m²']]])),"")</f>
        <v>0</v>
      </c>
      <c r="AC42" s="69">
        <f>IFERROR(
    IF(Baukon_neu[[#This Row],[Länge '[m/m²']]]*Baukon_neu[[#This Row],[Längengewicht '[kg/m']]]&lt;&gt;0, Baukon_neu[[#This Row],[Länge '[m/m²']]]*Baukon_neu[[#This Row],[Längengewicht '[kg/m']]],
       IF( Baukon_neu[[#This Row],[Volumen '[m³/m²'] min]]*Baukon_neu[[#This Row],[Rohdichte '[kg/m³']]]&lt;&gt;0,
        Baukon_neu[[#This Row],[Volumen '[m³/m²'] min]]*Baukon_neu[[#This Row],[Rohdichte '[kg/m³']]],
                Baukon_neu[[#This Row],[Flächenanteil '[%']]]*Baukon_neu[[#This Row],[Flächengewicht '[kg/m²']]])),"")</f>
        <v>0</v>
      </c>
      <c r="AD42" s="69">
        <f>IFERROR(
    IF(Baukon_neu[[#This Row],[Länge '[m/m²']]]*Baukon_neu[[#This Row],[Längengewicht '[kg/m']]]&lt;&gt;0, Baukon_neu[[#This Row],[Länge '[m/m²']]]*Baukon_neu[[#This Row],[Längengewicht '[kg/m']]],
       IF( Baukon_neu[[#This Row],[Volumen '[m³/m²'] max]]*Baukon_neu[[#This Row],[Rohdichte '[kg/m³']]]&lt;&gt;0,
        Baukon_neu[[#This Row],[Volumen '[m³/m²'] max]]*Baukon_neu[[#This Row],[Rohdichte '[kg/m³']]],
                Baukon_neu[[#This Row],[Flächenanteil '[%']]]*Baukon_neu[[#This Row],[Flächengewicht '[kg/m²']]])),"")</f>
        <v>0</v>
      </c>
      <c r="AE42" s="69" t="str">
        <f>IFERROR(Baukon_neu[[#This Row],[Dicke '[mm'] Referenz]]/Baukon_neu[[#This Row],[lambda_'[W/mK']]],"")</f>
        <v/>
      </c>
      <c r="AF42" s="70">
        <f>_xlfn.XLOOKUP(Baukon_neu[[#This Row],[LCA Datensatz]],LeitRess_Materialien[Material_UUID],LeitRess_Materialien[RMI '[kg Primärrohstoffe / kg']])*Baukon_neu[[#This Row],[Masse '[kg/m²'] Referenz]]</f>
        <v>0</v>
      </c>
      <c r="AG42" s="70">
        <f>_xlfn.XLOOKUP(Baukon_neu[[#This Row],[LCA Datensatz]],LeitRess_Materialien[Material_UUID],LeitRess_Materialien[RMI '[kg Primärrohstoffe / kg']])*Baukon_neu[[#This Row],[Masse '[kg/m²'] min]]</f>
        <v>0</v>
      </c>
      <c r="AH42" s="70">
        <f>_xlfn.XLOOKUP(Baukon_neu[[#This Row],[LCA Datensatz]],LeitRess_Materialien[Material_UUID],LeitRess_Materialien[RMI '[kg Primärrohstoffe / kg']])*Baukon_neu[[#This Row],[Masse '[kg/m²'] max]]</f>
        <v>0</v>
      </c>
      <c r="AI42" s="70">
        <f>_xlfn.XLOOKUP(Baukon_neu[[#This Row],[LCA Datensatz]],LeitRess_Materialien[Material_UUID],LeitRess_Materialien[TMR '[kg Gesamtmaterialaufwand/kg']])*Baukon_neu[[#This Row],[Masse '[kg/m²'] Referenz]]</f>
        <v>0</v>
      </c>
      <c r="AJ42" s="70">
        <f>_xlfn.XLOOKUP(Baukon_neu[[#This Row],[LCA Datensatz]],LeitRess_Materialien[Material_UUID],LeitRess_Materialien[TMR '[kg Gesamtmaterialaufwand/kg']])*Baukon_neu[[#This Row],[Masse '[kg/m²'] min]]</f>
        <v>0</v>
      </c>
      <c r="AK42" s="70">
        <f>_xlfn.XLOOKUP(Baukon_neu[[#This Row],[LCA Datensatz]],LeitRess_Materialien[Material_UUID],LeitRess_Materialien[TMR '[kg Gesamtmaterialaufwand/kg']])*Baukon_neu[[#This Row],[Masse '[kg/m²'] max]]</f>
        <v>0</v>
      </c>
      <c r="AL42" s="70">
        <f>_xlfn.XLOOKUP(Baukon_neu[[#This Row],[LCA Datensatz]],LeitRess_Materialien[Material_UUID],LeitRess_Materialien[GWP '[kg CO2-Äqu./kg']])*Baukon_neu[[#This Row],[Masse '[kg/m²'] Referenz]]</f>
        <v>0</v>
      </c>
      <c r="AM42" s="70">
        <f>_xlfn.XLOOKUP(Baukon_neu[[#This Row],[LCA Datensatz]],LeitRess_Materialien[Material_UUID],LeitRess_Materialien[GWP '[kg CO2-Äqu./kg']])*Baukon_neu[[#This Row],[Masse '[kg/m²'] min]]</f>
        <v>0</v>
      </c>
      <c r="AN42" s="70">
        <f>_xlfn.XLOOKUP(Baukon_neu[[#This Row],[LCA Datensatz]],LeitRess_Materialien[Material_UUID],LeitRess_Materialien[GWP '[kg CO2-Äqu./kg']])*Baukon_neu[[#This Row],[Masse '[kg/m²'] max]]</f>
        <v>0</v>
      </c>
      <c r="AO42" s="70">
        <f>_xlfn.XLOOKUP(Baukon_neu[[#This Row],[LCA Datensatz]],LeitRess_Materialien[Material_UUID],LeitRess_Materialien[PENRT '[MJ/kg']])*Baukon_neu[[#This Row],[Masse '[kg/m²'] Referenz]]</f>
        <v>0</v>
      </c>
      <c r="AP42" s="70">
        <f>_xlfn.XLOOKUP(Baukon_neu[[#This Row],[LCA Datensatz]],LeitRess_Materialien[Material_UUID],LeitRess_Materialien[PENRT '[MJ/kg']])*Baukon_neu[[#This Row],[Masse '[kg/m²'] min]]</f>
        <v>0</v>
      </c>
      <c r="AQ42" s="70">
        <f>_xlfn.XLOOKUP(Baukon_neu[[#This Row],[LCA Datensatz]],LeitRess_Materialien[Material_UUID],LeitRess_Materialien[PENRT '[MJ/kg']])*Baukon_neu[[#This Row],[Masse '[kg/m²'] max]]</f>
        <v>0</v>
      </c>
      <c r="AR42" s="70" t="e">
        <f>_xlfn.XLOOKUP(Baukon_neu[[#This Row],[LCA Datensatz]],LeitRess_Materialien[Material_UUID],#REF!)*Baukon_neu[[#This Row],[Masse '[kg/m²'] Referenz]]</f>
        <v>#REF!</v>
      </c>
      <c r="AS42" s="70" t="e">
        <f>_xlfn.XLOOKUP(Baukon_neu[[#This Row],[LCA Datensatz]],LeitRess_Materialien[Material_UUID],#REF!)*Baukon_neu[[#This Row],[Masse '[kg/m²'] min]]</f>
        <v>#REF!</v>
      </c>
      <c r="AT42" s="70" t="e">
        <f>_xlfn.XLOOKUP(Baukon_neu[[#This Row],[LCA Datensatz]],LeitRess_Materialien[Material_UUID],#REF!)*Baukon_neu[[#This Row],[Masse '[kg/m²'] max]]</f>
        <v>#REF!</v>
      </c>
      <c r="AU42" s="70">
        <f>_xlfn.XLOOKUP(Baukon_neu[[#This Row],[LCA Datensatz]],LeitRess_Materialien[Material_UUID],LeitRess_Materialien[WDP '[m³ weighted water/kg']])*Baukon_neu[[#This Row],[Masse '[kg/m²'] Referenz]]</f>
        <v>0</v>
      </c>
      <c r="AV42" s="70">
        <f>_xlfn.XLOOKUP(Baukon_neu[[#This Row],[LCA Datensatz]],LeitRess_Materialien[Material_UUID],LeitRess_Materialien[WDP '[m³ weighted water/kg']])*Baukon_neu[[#This Row],[Masse '[kg/m²'] min]]</f>
        <v>0</v>
      </c>
      <c r="AW42" s="70">
        <f>_xlfn.XLOOKUP(Baukon_neu[[#This Row],[LCA Datensatz]],LeitRess_Materialien[Material_UUID],LeitRess_Materialien[WDP '[m³ weighted water/kg']])*Baukon_neu[[#This Row],[Masse '[kg/m²'] max]]</f>
        <v>0</v>
      </c>
      <c r="AX42" s="78">
        <f>Baukon_neu[[#This Row],[GWP '[kg CO2-Äqu./m²'] Referenz]]/'Ausgabe Tabellen'!$C$21+Baukon_neu[[#This Row],[PENRT '[MJ/m²'] Referenz]]/'Ausgabe Tabellen'!$C$22+Baukon_neu[[#This Row],[RMI '[kg Primärrohstoffe/m²'] Referenz]]/'Ausgabe Tabellen'!$C$23+Baukon_neu[[#This Row],[WDP '[m² weighted water/m²'] Referenz]]/'Ausgabe Tabellen'!$C$24</f>
        <v>0</v>
      </c>
      <c r="AY42" s="78">
        <f>Baukon_neu[[#This Row],[GWP '[kg CO2-Äqu./m²'] min]]/'Ausgabe Tabellen'!$C$21+Baukon_neu[[#This Row],[PENRT '[MJ/m²'] min]]/'Ausgabe Tabellen'!$C$22+Baukon_neu[[#This Row],[RMI '[kg Primärrohstoffe/m²'] min]]/'Ausgabe Tabellen'!$C$23+Baukon_neu[[#This Row],[WDP '[m² weighted water/m²'] min]]/'Ausgabe Tabellen'!$C$24</f>
        <v>0</v>
      </c>
      <c r="AZ42" s="78">
        <f>Baukon_neu[[#This Row],[GWP '[kg CO2-Äqu./m²'] max]]/'Ausgabe Tabellen'!$C$21+Baukon_neu[[#This Row],[PENRT '[MJ/m²'] max]]/'Ausgabe Tabellen'!$C$22+Baukon_neu[[#This Row],[RMI '[kg Primärrohstoffe/m²'] max]]/'Ausgabe Tabellen'!$C$23+Baukon_neu[[#This Row],[WDP '[m² weighted water/m²'] max]]/'Ausgabe Tabellen'!$C$24</f>
        <v>0</v>
      </c>
    </row>
    <row r="43" spans="1:52" x14ac:dyDescent="0.65">
      <c r="A43" s="73" t="s">
        <v>244</v>
      </c>
      <c r="B43" s="74"/>
      <c r="C43" s="74"/>
      <c r="D43" s="74"/>
      <c r="E43" s="106" t="str">
        <f>Baukon_neu[[#This Row],[Variante Nummer]]&amp;". "&amp;Baukon_neu[[#This Row],[Name Baukonstruktion]]&amp;" | " &amp;Baukon_neu[[#This Row],[Variante Name]]</f>
        <v xml:space="preserve">.  | </v>
      </c>
      <c r="F43" s="128" t="str">
        <f>IF(IFERROR(_xlfn.XLOOKUP(Baukon_neu[[#This Row],[ID Baukonstruktion]],Baukon_alle_A1_A3_results[ID Baukonstruktion],Baukon_alle_A1_A3_results[ID Baukonstruktion]),"okay")="okay", "okay","Achtung, id wird bereits verwendet")</f>
        <v>okay</v>
      </c>
      <c r="G43" s="75"/>
      <c r="H43" s="73" t="s">
        <v>244</v>
      </c>
      <c r="I43" s="73" t="s">
        <v>244</v>
      </c>
      <c r="J43" s="74"/>
      <c r="K43" s="68">
        <f>IF(Baukon_neu[[#This Row],[ist Dämmstoff?]]="ja",Baukon_neu[[#This Row],[Dicke '[mm'] Referenz]]+_xlfn.XLOOKUP(RIGHT(Baukon_neu[[#Headers],[Dicke '[mm'] min]],3),Dämmstoffvarianten[Variante],Dämmstoffvarianten[Differenz Dämmstoffedicke zu Referenz '[mm']]),Baukon_neu[[#This Row],[Dicke '[mm'] Referenz]])</f>
        <v>0</v>
      </c>
      <c r="L43" s="68">
        <f>IF(Baukon_neu[[#This Row],[ist Dämmstoff?]]="ja",Baukon_neu[[#This Row],[Dicke '[mm'] Referenz]]+_xlfn.XLOOKUP(RIGHT(Baukon_neu[[#Headers],[Dicke '[mm'] max]],3),Dämmstoffvarianten[Variante],Dämmstoffvarianten[Differenz Dämmstoffedicke zu Referenz '[mm']]),Baukon_neu[[#This Row],[Dicke '[mm'] Referenz]])</f>
        <v>0</v>
      </c>
      <c r="M43" s="76">
        <v>1</v>
      </c>
      <c r="N43" s="75"/>
      <c r="O43" s="69">
        <f>IFERROR(Baukon_neu[[#This Row],[Dicke '[mm'] Referenz]]/1000*Baukon_neu[[#This Row],[Flächenanteil '[%']]],"")</f>
        <v>0</v>
      </c>
      <c r="P43" s="69">
        <f>IFERROR(Baukon_neu[[#This Row],[Dicke '[mm'] min]]/1000*Baukon_neu[[#This Row],[Flächenanteil '[%']]],"")</f>
        <v>0</v>
      </c>
      <c r="Q43" s="69">
        <f>IFERROR(Baukon_neu[[#This Row],[Dicke '[mm'] max]]/1000*Baukon_neu[[#This Row],[Flächenanteil '[%']]],"")</f>
        <v>0</v>
      </c>
      <c r="R43" s="77" t="s">
        <v>226</v>
      </c>
      <c r="S43" s="69" t="str">
        <f>IFERROR(_xlfn.XLOOKUP(Baukon_neu[[#This Row],[Produkt]],LeitRess_Materialien[Name],LeitRess_Materialien[Material_UUID]),"")</f>
        <v>0</v>
      </c>
      <c r="T43" s="69">
        <f>IF(OR(Baukon_neu[[#This Row],[Rohdichte '[kg/m³'], Eingabe ]]="", Baukon_neu[[#This Row],[Rohdichte '[kg/m³'], Eingabe ]]="0"),_xlfn.XLOOKUP(Baukon_neu[[#This Row],[LCA Datensatz]],LeitRess_Materialien[Material_UUID],LeitRess_Materialien[Rohdichte_'[kg/m3']]),Baukon_neu[[#This Row],[Rohdichte '[kg/m³'], Eingabe ]])</f>
        <v>0</v>
      </c>
      <c r="U43" s="69">
        <f>IF(OR(Baukon_neu[[#This Row],[Flächengewicht '[kg/m²'], Eingabe ]]="", Baukon_neu[[#This Row],[Flächengewicht '[kg/m²'], Eingabe ]]="0"),_xlfn.XLOOKUP(Baukon_neu[[#This Row],[LCA Datensatz]],LeitRess_Materialien[Material_UUID],LeitRess_Materialien[Flächengewicht_'[kg/m2']]),Baukon_neu[[#This Row],[Flächengewicht '[kg/m²'], Eingabe ]])</f>
        <v>0</v>
      </c>
      <c r="V43" s="69">
        <f>IF(OR(Baukon_neu[[#This Row],[Längengewicht '[kg/m'], Eingabe ]]="", Baukon_neu[[#This Row],[Längengewicht '[kg/m'], Eingabe ]]="0"),_xlfn.XLOOKUP(Baukon_neu[[#This Row],[LCA Datensatz]],LeitRess_Materialien[Material_UUID],LeitRess_Materialien[Längengewicht_'[kg/m']]),Baukon_neu[[#This Row],[Längengewicht '[kg/m'], Eingabe ]])</f>
        <v>0</v>
      </c>
      <c r="W43" s="69">
        <f>IF(OR(Baukon_neu[[#This Row],[lambda_'[W/mK'], Eingabe ]]="", Baukon_neu[[#This Row],[lambda_'[W/mK'], Eingabe ]]="0"),_xlfn.XLOOKUP(Baukon_neu[[#This Row],[LCA Datensatz]],LeitRess_Materialien[Material_UUID],LeitRess_Materialien[lambda_'[W/mK']]),Baukon_neu[[#This Row],[lambda_'[W/mK'], Eingabe ]])</f>
        <v>0</v>
      </c>
      <c r="X43" s="75"/>
      <c r="Y43" s="75"/>
      <c r="Z43" s="75"/>
      <c r="AA43" s="75"/>
      <c r="AB43" s="69">
        <f>IFERROR(
    IF(Baukon_neu[[#This Row],[Länge '[m/m²']]]*Baukon_neu[[#This Row],[Längengewicht '[kg/m']]]&lt;&gt;0, Baukon_neu[[#This Row],[Länge '[m/m²']]]*Baukon_neu[[#This Row],[Längengewicht '[kg/m']]],
       IF( Baukon_neu[[#This Row],[Volumen '[m³/m²'] Referenz]]*Baukon_neu[[#This Row],[Rohdichte '[kg/m³']]]&lt;&gt;0,
        Baukon_neu[[#This Row],[Volumen '[m³/m²'] Referenz]]*Baukon_neu[[#This Row],[Rohdichte '[kg/m³']]],
                Baukon_neu[[#This Row],[Flächenanteil '[%']]]*Baukon_neu[[#This Row],[Flächengewicht '[kg/m²']]])),"")</f>
        <v>0</v>
      </c>
      <c r="AC43" s="69">
        <f>IFERROR(
    IF(Baukon_neu[[#This Row],[Länge '[m/m²']]]*Baukon_neu[[#This Row],[Längengewicht '[kg/m']]]&lt;&gt;0, Baukon_neu[[#This Row],[Länge '[m/m²']]]*Baukon_neu[[#This Row],[Längengewicht '[kg/m']]],
       IF( Baukon_neu[[#This Row],[Volumen '[m³/m²'] min]]*Baukon_neu[[#This Row],[Rohdichte '[kg/m³']]]&lt;&gt;0,
        Baukon_neu[[#This Row],[Volumen '[m³/m²'] min]]*Baukon_neu[[#This Row],[Rohdichte '[kg/m³']]],
                Baukon_neu[[#This Row],[Flächenanteil '[%']]]*Baukon_neu[[#This Row],[Flächengewicht '[kg/m²']]])),"")</f>
        <v>0</v>
      </c>
      <c r="AD43" s="69">
        <f>IFERROR(
    IF(Baukon_neu[[#This Row],[Länge '[m/m²']]]*Baukon_neu[[#This Row],[Längengewicht '[kg/m']]]&lt;&gt;0, Baukon_neu[[#This Row],[Länge '[m/m²']]]*Baukon_neu[[#This Row],[Längengewicht '[kg/m']]],
       IF( Baukon_neu[[#This Row],[Volumen '[m³/m²'] max]]*Baukon_neu[[#This Row],[Rohdichte '[kg/m³']]]&lt;&gt;0,
        Baukon_neu[[#This Row],[Volumen '[m³/m²'] max]]*Baukon_neu[[#This Row],[Rohdichte '[kg/m³']]],
                Baukon_neu[[#This Row],[Flächenanteil '[%']]]*Baukon_neu[[#This Row],[Flächengewicht '[kg/m²']]])),"")</f>
        <v>0</v>
      </c>
      <c r="AE43" s="69" t="str">
        <f>IFERROR(Baukon_neu[[#This Row],[Dicke '[mm'] Referenz]]/Baukon_neu[[#This Row],[lambda_'[W/mK']]],"")</f>
        <v/>
      </c>
      <c r="AF43" s="70">
        <f>_xlfn.XLOOKUP(Baukon_neu[[#This Row],[LCA Datensatz]],LeitRess_Materialien[Material_UUID],LeitRess_Materialien[RMI '[kg Primärrohstoffe / kg']])*Baukon_neu[[#This Row],[Masse '[kg/m²'] Referenz]]</f>
        <v>0</v>
      </c>
      <c r="AG43" s="70">
        <f>_xlfn.XLOOKUP(Baukon_neu[[#This Row],[LCA Datensatz]],LeitRess_Materialien[Material_UUID],LeitRess_Materialien[RMI '[kg Primärrohstoffe / kg']])*Baukon_neu[[#This Row],[Masse '[kg/m²'] min]]</f>
        <v>0</v>
      </c>
      <c r="AH43" s="70">
        <f>_xlfn.XLOOKUP(Baukon_neu[[#This Row],[LCA Datensatz]],LeitRess_Materialien[Material_UUID],LeitRess_Materialien[RMI '[kg Primärrohstoffe / kg']])*Baukon_neu[[#This Row],[Masse '[kg/m²'] max]]</f>
        <v>0</v>
      </c>
      <c r="AI43" s="70">
        <f>_xlfn.XLOOKUP(Baukon_neu[[#This Row],[LCA Datensatz]],LeitRess_Materialien[Material_UUID],LeitRess_Materialien[TMR '[kg Gesamtmaterialaufwand/kg']])*Baukon_neu[[#This Row],[Masse '[kg/m²'] Referenz]]</f>
        <v>0</v>
      </c>
      <c r="AJ43" s="70">
        <f>_xlfn.XLOOKUP(Baukon_neu[[#This Row],[LCA Datensatz]],LeitRess_Materialien[Material_UUID],LeitRess_Materialien[TMR '[kg Gesamtmaterialaufwand/kg']])*Baukon_neu[[#This Row],[Masse '[kg/m²'] min]]</f>
        <v>0</v>
      </c>
      <c r="AK43" s="70">
        <f>_xlfn.XLOOKUP(Baukon_neu[[#This Row],[LCA Datensatz]],LeitRess_Materialien[Material_UUID],LeitRess_Materialien[TMR '[kg Gesamtmaterialaufwand/kg']])*Baukon_neu[[#This Row],[Masse '[kg/m²'] max]]</f>
        <v>0</v>
      </c>
      <c r="AL43" s="70">
        <f>_xlfn.XLOOKUP(Baukon_neu[[#This Row],[LCA Datensatz]],LeitRess_Materialien[Material_UUID],LeitRess_Materialien[GWP '[kg CO2-Äqu./kg']])*Baukon_neu[[#This Row],[Masse '[kg/m²'] Referenz]]</f>
        <v>0</v>
      </c>
      <c r="AM43" s="70">
        <f>_xlfn.XLOOKUP(Baukon_neu[[#This Row],[LCA Datensatz]],LeitRess_Materialien[Material_UUID],LeitRess_Materialien[GWP '[kg CO2-Äqu./kg']])*Baukon_neu[[#This Row],[Masse '[kg/m²'] min]]</f>
        <v>0</v>
      </c>
      <c r="AN43" s="70">
        <f>_xlfn.XLOOKUP(Baukon_neu[[#This Row],[LCA Datensatz]],LeitRess_Materialien[Material_UUID],LeitRess_Materialien[GWP '[kg CO2-Äqu./kg']])*Baukon_neu[[#This Row],[Masse '[kg/m²'] max]]</f>
        <v>0</v>
      </c>
      <c r="AO43" s="70">
        <f>_xlfn.XLOOKUP(Baukon_neu[[#This Row],[LCA Datensatz]],LeitRess_Materialien[Material_UUID],LeitRess_Materialien[PENRT '[MJ/kg']])*Baukon_neu[[#This Row],[Masse '[kg/m²'] Referenz]]</f>
        <v>0</v>
      </c>
      <c r="AP43" s="70">
        <f>_xlfn.XLOOKUP(Baukon_neu[[#This Row],[LCA Datensatz]],LeitRess_Materialien[Material_UUID],LeitRess_Materialien[PENRT '[MJ/kg']])*Baukon_neu[[#This Row],[Masse '[kg/m²'] min]]</f>
        <v>0</v>
      </c>
      <c r="AQ43" s="70">
        <f>_xlfn.XLOOKUP(Baukon_neu[[#This Row],[LCA Datensatz]],LeitRess_Materialien[Material_UUID],LeitRess_Materialien[PENRT '[MJ/kg']])*Baukon_neu[[#This Row],[Masse '[kg/m²'] max]]</f>
        <v>0</v>
      </c>
      <c r="AR43" s="70" t="e">
        <f>_xlfn.XLOOKUP(Baukon_neu[[#This Row],[LCA Datensatz]],LeitRess_Materialien[Material_UUID],#REF!)*Baukon_neu[[#This Row],[Masse '[kg/m²'] Referenz]]</f>
        <v>#REF!</v>
      </c>
      <c r="AS43" s="70" t="e">
        <f>_xlfn.XLOOKUP(Baukon_neu[[#This Row],[LCA Datensatz]],LeitRess_Materialien[Material_UUID],#REF!)*Baukon_neu[[#This Row],[Masse '[kg/m²'] min]]</f>
        <v>#REF!</v>
      </c>
      <c r="AT43" s="70" t="e">
        <f>_xlfn.XLOOKUP(Baukon_neu[[#This Row],[LCA Datensatz]],LeitRess_Materialien[Material_UUID],#REF!)*Baukon_neu[[#This Row],[Masse '[kg/m²'] max]]</f>
        <v>#REF!</v>
      </c>
      <c r="AU43" s="70">
        <f>_xlfn.XLOOKUP(Baukon_neu[[#This Row],[LCA Datensatz]],LeitRess_Materialien[Material_UUID],LeitRess_Materialien[WDP '[m³ weighted water/kg']])*Baukon_neu[[#This Row],[Masse '[kg/m²'] Referenz]]</f>
        <v>0</v>
      </c>
      <c r="AV43" s="70">
        <f>_xlfn.XLOOKUP(Baukon_neu[[#This Row],[LCA Datensatz]],LeitRess_Materialien[Material_UUID],LeitRess_Materialien[WDP '[m³ weighted water/kg']])*Baukon_neu[[#This Row],[Masse '[kg/m²'] min]]</f>
        <v>0</v>
      </c>
      <c r="AW43" s="70">
        <f>_xlfn.XLOOKUP(Baukon_neu[[#This Row],[LCA Datensatz]],LeitRess_Materialien[Material_UUID],LeitRess_Materialien[WDP '[m³ weighted water/kg']])*Baukon_neu[[#This Row],[Masse '[kg/m²'] max]]</f>
        <v>0</v>
      </c>
      <c r="AX43" s="78">
        <f>Baukon_neu[[#This Row],[GWP '[kg CO2-Äqu./m²'] Referenz]]/'Ausgabe Tabellen'!$C$21+Baukon_neu[[#This Row],[PENRT '[MJ/m²'] Referenz]]/'Ausgabe Tabellen'!$C$22+Baukon_neu[[#This Row],[RMI '[kg Primärrohstoffe/m²'] Referenz]]/'Ausgabe Tabellen'!$C$23+Baukon_neu[[#This Row],[WDP '[m² weighted water/m²'] Referenz]]/'Ausgabe Tabellen'!$C$24</f>
        <v>0</v>
      </c>
      <c r="AY43" s="78">
        <f>Baukon_neu[[#This Row],[GWP '[kg CO2-Äqu./m²'] min]]/'Ausgabe Tabellen'!$C$21+Baukon_neu[[#This Row],[PENRT '[MJ/m²'] min]]/'Ausgabe Tabellen'!$C$22+Baukon_neu[[#This Row],[RMI '[kg Primärrohstoffe/m²'] min]]/'Ausgabe Tabellen'!$C$23+Baukon_neu[[#This Row],[WDP '[m² weighted water/m²'] min]]/'Ausgabe Tabellen'!$C$24</f>
        <v>0</v>
      </c>
      <c r="AZ43" s="78">
        <f>Baukon_neu[[#This Row],[GWP '[kg CO2-Äqu./m²'] max]]/'Ausgabe Tabellen'!$C$21+Baukon_neu[[#This Row],[PENRT '[MJ/m²'] max]]/'Ausgabe Tabellen'!$C$22+Baukon_neu[[#This Row],[RMI '[kg Primärrohstoffe/m²'] max]]/'Ausgabe Tabellen'!$C$23+Baukon_neu[[#This Row],[WDP '[m² weighted water/m²'] max]]/'Ausgabe Tabellen'!$C$24</f>
        <v>0</v>
      </c>
    </row>
    <row r="44" spans="1:52" x14ac:dyDescent="0.65">
      <c r="A44" s="73" t="s">
        <v>244</v>
      </c>
      <c r="B44" s="74"/>
      <c r="C44" s="74"/>
      <c r="D44" s="74"/>
      <c r="E44" s="106" t="str">
        <f>Baukon_neu[[#This Row],[Variante Nummer]]&amp;". "&amp;Baukon_neu[[#This Row],[Name Baukonstruktion]]&amp;" | " &amp;Baukon_neu[[#This Row],[Variante Name]]</f>
        <v xml:space="preserve">.  | </v>
      </c>
      <c r="F44" s="128" t="str">
        <f>IF(IFERROR(_xlfn.XLOOKUP(Baukon_neu[[#This Row],[ID Baukonstruktion]],Baukon_alle_A1_A3_results[ID Baukonstruktion],Baukon_alle_A1_A3_results[ID Baukonstruktion]),"okay")="okay", "okay","Achtung, id wird bereits verwendet")</f>
        <v>okay</v>
      </c>
      <c r="G44" s="75"/>
      <c r="H44" s="73" t="s">
        <v>244</v>
      </c>
      <c r="I44" s="73" t="s">
        <v>244</v>
      </c>
      <c r="J44" s="74"/>
      <c r="K44" s="68">
        <f>IF(Baukon_neu[[#This Row],[ist Dämmstoff?]]="ja",Baukon_neu[[#This Row],[Dicke '[mm'] Referenz]]+_xlfn.XLOOKUP(RIGHT(Baukon_neu[[#Headers],[Dicke '[mm'] min]],3),Dämmstoffvarianten[Variante],Dämmstoffvarianten[Differenz Dämmstoffedicke zu Referenz '[mm']]),Baukon_neu[[#This Row],[Dicke '[mm'] Referenz]])</f>
        <v>0</v>
      </c>
      <c r="L44" s="68">
        <f>IF(Baukon_neu[[#This Row],[ist Dämmstoff?]]="ja",Baukon_neu[[#This Row],[Dicke '[mm'] Referenz]]+_xlfn.XLOOKUP(RIGHT(Baukon_neu[[#Headers],[Dicke '[mm'] max]],3),Dämmstoffvarianten[Variante],Dämmstoffvarianten[Differenz Dämmstoffedicke zu Referenz '[mm']]),Baukon_neu[[#This Row],[Dicke '[mm'] Referenz]])</f>
        <v>0</v>
      </c>
      <c r="M44" s="76">
        <v>1</v>
      </c>
      <c r="N44" s="75"/>
      <c r="O44" s="69">
        <f>IFERROR(Baukon_neu[[#This Row],[Dicke '[mm'] Referenz]]/1000*Baukon_neu[[#This Row],[Flächenanteil '[%']]],"")</f>
        <v>0</v>
      </c>
      <c r="P44" s="69">
        <f>IFERROR(Baukon_neu[[#This Row],[Dicke '[mm'] min]]/1000*Baukon_neu[[#This Row],[Flächenanteil '[%']]],"")</f>
        <v>0</v>
      </c>
      <c r="Q44" s="69">
        <f>IFERROR(Baukon_neu[[#This Row],[Dicke '[mm'] max]]/1000*Baukon_neu[[#This Row],[Flächenanteil '[%']]],"")</f>
        <v>0</v>
      </c>
      <c r="R44" s="77" t="s">
        <v>226</v>
      </c>
      <c r="S44" s="69" t="str">
        <f>IFERROR(_xlfn.XLOOKUP(Baukon_neu[[#This Row],[Produkt]],LeitRess_Materialien[Name],LeitRess_Materialien[Material_UUID]),"")</f>
        <v>0</v>
      </c>
      <c r="T44" s="69">
        <f>IF(OR(Baukon_neu[[#This Row],[Rohdichte '[kg/m³'], Eingabe ]]="", Baukon_neu[[#This Row],[Rohdichte '[kg/m³'], Eingabe ]]="0"),_xlfn.XLOOKUP(Baukon_neu[[#This Row],[LCA Datensatz]],LeitRess_Materialien[Material_UUID],LeitRess_Materialien[Rohdichte_'[kg/m3']]),Baukon_neu[[#This Row],[Rohdichte '[kg/m³'], Eingabe ]])</f>
        <v>0</v>
      </c>
      <c r="U44" s="69">
        <f>IF(OR(Baukon_neu[[#This Row],[Flächengewicht '[kg/m²'], Eingabe ]]="", Baukon_neu[[#This Row],[Flächengewicht '[kg/m²'], Eingabe ]]="0"),_xlfn.XLOOKUP(Baukon_neu[[#This Row],[LCA Datensatz]],LeitRess_Materialien[Material_UUID],LeitRess_Materialien[Flächengewicht_'[kg/m2']]),Baukon_neu[[#This Row],[Flächengewicht '[kg/m²'], Eingabe ]])</f>
        <v>0</v>
      </c>
      <c r="V44" s="69">
        <f>IF(OR(Baukon_neu[[#This Row],[Längengewicht '[kg/m'], Eingabe ]]="", Baukon_neu[[#This Row],[Längengewicht '[kg/m'], Eingabe ]]="0"),_xlfn.XLOOKUP(Baukon_neu[[#This Row],[LCA Datensatz]],LeitRess_Materialien[Material_UUID],LeitRess_Materialien[Längengewicht_'[kg/m']]),Baukon_neu[[#This Row],[Längengewicht '[kg/m'], Eingabe ]])</f>
        <v>0</v>
      </c>
      <c r="W44" s="69">
        <f>IF(OR(Baukon_neu[[#This Row],[lambda_'[W/mK'], Eingabe ]]="", Baukon_neu[[#This Row],[lambda_'[W/mK'], Eingabe ]]="0"),_xlfn.XLOOKUP(Baukon_neu[[#This Row],[LCA Datensatz]],LeitRess_Materialien[Material_UUID],LeitRess_Materialien[lambda_'[W/mK']]),Baukon_neu[[#This Row],[lambda_'[W/mK'], Eingabe ]])</f>
        <v>0</v>
      </c>
      <c r="X44" s="75"/>
      <c r="Y44" s="75"/>
      <c r="Z44" s="75"/>
      <c r="AA44" s="75"/>
      <c r="AB44" s="69">
        <f>IFERROR(
    IF(Baukon_neu[[#This Row],[Länge '[m/m²']]]*Baukon_neu[[#This Row],[Längengewicht '[kg/m']]]&lt;&gt;0, Baukon_neu[[#This Row],[Länge '[m/m²']]]*Baukon_neu[[#This Row],[Längengewicht '[kg/m']]],
       IF( Baukon_neu[[#This Row],[Volumen '[m³/m²'] Referenz]]*Baukon_neu[[#This Row],[Rohdichte '[kg/m³']]]&lt;&gt;0,
        Baukon_neu[[#This Row],[Volumen '[m³/m²'] Referenz]]*Baukon_neu[[#This Row],[Rohdichte '[kg/m³']]],
                Baukon_neu[[#This Row],[Flächenanteil '[%']]]*Baukon_neu[[#This Row],[Flächengewicht '[kg/m²']]])),"")</f>
        <v>0</v>
      </c>
      <c r="AC44" s="69">
        <f>IFERROR(
    IF(Baukon_neu[[#This Row],[Länge '[m/m²']]]*Baukon_neu[[#This Row],[Längengewicht '[kg/m']]]&lt;&gt;0, Baukon_neu[[#This Row],[Länge '[m/m²']]]*Baukon_neu[[#This Row],[Längengewicht '[kg/m']]],
       IF( Baukon_neu[[#This Row],[Volumen '[m³/m²'] min]]*Baukon_neu[[#This Row],[Rohdichte '[kg/m³']]]&lt;&gt;0,
        Baukon_neu[[#This Row],[Volumen '[m³/m²'] min]]*Baukon_neu[[#This Row],[Rohdichte '[kg/m³']]],
                Baukon_neu[[#This Row],[Flächenanteil '[%']]]*Baukon_neu[[#This Row],[Flächengewicht '[kg/m²']]])),"")</f>
        <v>0</v>
      </c>
      <c r="AD44" s="69">
        <f>IFERROR(
    IF(Baukon_neu[[#This Row],[Länge '[m/m²']]]*Baukon_neu[[#This Row],[Längengewicht '[kg/m']]]&lt;&gt;0, Baukon_neu[[#This Row],[Länge '[m/m²']]]*Baukon_neu[[#This Row],[Längengewicht '[kg/m']]],
       IF( Baukon_neu[[#This Row],[Volumen '[m³/m²'] max]]*Baukon_neu[[#This Row],[Rohdichte '[kg/m³']]]&lt;&gt;0,
        Baukon_neu[[#This Row],[Volumen '[m³/m²'] max]]*Baukon_neu[[#This Row],[Rohdichte '[kg/m³']]],
                Baukon_neu[[#This Row],[Flächenanteil '[%']]]*Baukon_neu[[#This Row],[Flächengewicht '[kg/m²']]])),"")</f>
        <v>0</v>
      </c>
      <c r="AE44" s="69" t="str">
        <f>IFERROR(Baukon_neu[[#This Row],[Dicke '[mm'] Referenz]]/Baukon_neu[[#This Row],[lambda_'[W/mK']]],"")</f>
        <v/>
      </c>
      <c r="AF44" s="70">
        <f>_xlfn.XLOOKUP(Baukon_neu[[#This Row],[LCA Datensatz]],LeitRess_Materialien[Material_UUID],LeitRess_Materialien[RMI '[kg Primärrohstoffe / kg']])*Baukon_neu[[#This Row],[Masse '[kg/m²'] Referenz]]</f>
        <v>0</v>
      </c>
      <c r="AG44" s="70">
        <f>_xlfn.XLOOKUP(Baukon_neu[[#This Row],[LCA Datensatz]],LeitRess_Materialien[Material_UUID],LeitRess_Materialien[RMI '[kg Primärrohstoffe / kg']])*Baukon_neu[[#This Row],[Masse '[kg/m²'] min]]</f>
        <v>0</v>
      </c>
      <c r="AH44" s="70">
        <f>_xlfn.XLOOKUP(Baukon_neu[[#This Row],[LCA Datensatz]],LeitRess_Materialien[Material_UUID],LeitRess_Materialien[RMI '[kg Primärrohstoffe / kg']])*Baukon_neu[[#This Row],[Masse '[kg/m²'] max]]</f>
        <v>0</v>
      </c>
      <c r="AI44" s="70">
        <f>_xlfn.XLOOKUP(Baukon_neu[[#This Row],[LCA Datensatz]],LeitRess_Materialien[Material_UUID],LeitRess_Materialien[TMR '[kg Gesamtmaterialaufwand/kg']])*Baukon_neu[[#This Row],[Masse '[kg/m²'] Referenz]]</f>
        <v>0</v>
      </c>
      <c r="AJ44" s="70">
        <f>_xlfn.XLOOKUP(Baukon_neu[[#This Row],[LCA Datensatz]],LeitRess_Materialien[Material_UUID],LeitRess_Materialien[TMR '[kg Gesamtmaterialaufwand/kg']])*Baukon_neu[[#This Row],[Masse '[kg/m²'] min]]</f>
        <v>0</v>
      </c>
      <c r="AK44" s="70">
        <f>_xlfn.XLOOKUP(Baukon_neu[[#This Row],[LCA Datensatz]],LeitRess_Materialien[Material_UUID],LeitRess_Materialien[TMR '[kg Gesamtmaterialaufwand/kg']])*Baukon_neu[[#This Row],[Masse '[kg/m²'] max]]</f>
        <v>0</v>
      </c>
      <c r="AL44" s="70">
        <f>_xlfn.XLOOKUP(Baukon_neu[[#This Row],[LCA Datensatz]],LeitRess_Materialien[Material_UUID],LeitRess_Materialien[GWP '[kg CO2-Äqu./kg']])*Baukon_neu[[#This Row],[Masse '[kg/m²'] Referenz]]</f>
        <v>0</v>
      </c>
      <c r="AM44" s="70">
        <f>_xlfn.XLOOKUP(Baukon_neu[[#This Row],[LCA Datensatz]],LeitRess_Materialien[Material_UUID],LeitRess_Materialien[GWP '[kg CO2-Äqu./kg']])*Baukon_neu[[#This Row],[Masse '[kg/m²'] min]]</f>
        <v>0</v>
      </c>
      <c r="AN44" s="70">
        <f>_xlfn.XLOOKUP(Baukon_neu[[#This Row],[LCA Datensatz]],LeitRess_Materialien[Material_UUID],LeitRess_Materialien[GWP '[kg CO2-Äqu./kg']])*Baukon_neu[[#This Row],[Masse '[kg/m²'] max]]</f>
        <v>0</v>
      </c>
      <c r="AO44" s="70">
        <f>_xlfn.XLOOKUP(Baukon_neu[[#This Row],[LCA Datensatz]],LeitRess_Materialien[Material_UUID],LeitRess_Materialien[PENRT '[MJ/kg']])*Baukon_neu[[#This Row],[Masse '[kg/m²'] Referenz]]</f>
        <v>0</v>
      </c>
      <c r="AP44" s="70">
        <f>_xlfn.XLOOKUP(Baukon_neu[[#This Row],[LCA Datensatz]],LeitRess_Materialien[Material_UUID],LeitRess_Materialien[PENRT '[MJ/kg']])*Baukon_neu[[#This Row],[Masse '[kg/m²'] min]]</f>
        <v>0</v>
      </c>
      <c r="AQ44" s="70">
        <f>_xlfn.XLOOKUP(Baukon_neu[[#This Row],[LCA Datensatz]],LeitRess_Materialien[Material_UUID],LeitRess_Materialien[PENRT '[MJ/kg']])*Baukon_neu[[#This Row],[Masse '[kg/m²'] max]]</f>
        <v>0</v>
      </c>
      <c r="AR44" s="70" t="e">
        <f>_xlfn.XLOOKUP(Baukon_neu[[#This Row],[LCA Datensatz]],LeitRess_Materialien[Material_UUID],#REF!)*Baukon_neu[[#This Row],[Masse '[kg/m²'] Referenz]]</f>
        <v>#REF!</v>
      </c>
      <c r="AS44" s="70" t="e">
        <f>_xlfn.XLOOKUP(Baukon_neu[[#This Row],[LCA Datensatz]],LeitRess_Materialien[Material_UUID],#REF!)*Baukon_neu[[#This Row],[Masse '[kg/m²'] min]]</f>
        <v>#REF!</v>
      </c>
      <c r="AT44" s="70" t="e">
        <f>_xlfn.XLOOKUP(Baukon_neu[[#This Row],[LCA Datensatz]],LeitRess_Materialien[Material_UUID],#REF!)*Baukon_neu[[#This Row],[Masse '[kg/m²'] max]]</f>
        <v>#REF!</v>
      </c>
      <c r="AU44" s="70">
        <f>_xlfn.XLOOKUP(Baukon_neu[[#This Row],[LCA Datensatz]],LeitRess_Materialien[Material_UUID],LeitRess_Materialien[WDP '[m³ weighted water/kg']])*Baukon_neu[[#This Row],[Masse '[kg/m²'] Referenz]]</f>
        <v>0</v>
      </c>
      <c r="AV44" s="70">
        <f>_xlfn.XLOOKUP(Baukon_neu[[#This Row],[LCA Datensatz]],LeitRess_Materialien[Material_UUID],LeitRess_Materialien[WDP '[m³ weighted water/kg']])*Baukon_neu[[#This Row],[Masse '[kg/m²'] min]]</f>
        <v>0</v>
      </c>
      <c r="AW44" s="70">
        <f>_xlfn.XLOOKUP(Baukon_neu[[#This Row],[LCA Datensatz]],LeitRess_Materialien[Material_UUID],LeitRess_Materialien[WDP '[m³ weighted water/kg']])*Baukon_neu[[#This Row],[Masse '[kg/m²'] max]]</f>
        <v>0</v>
      </c>
      <c r="AX44" s="78">
        <f>Baukon_neu[[#This Row],[GWP '[kg CO2-Äqu./m²'] Referenz]]/'Ausgabe Tabellen'!$C$21+Baukon_neu[[#This Row],[PENRT '[MJ/m²'] Referenz]]/'Ausgabe Tabellen'!$C$22+Baukon_neu[[#This Row],[RMI '[kg Primärrohstoffe/m²'] Referenz]]/'Ausgabe Tabellen'!$C$23+Baukon_neu[[#This Row],[WDP '[m² weighted water/m²'] Referenz]]/'Ausgabe Tabellen'!$C$24</f>
        <v>0</v>
      </c>
      <c r="AY44" s="78">
        <f>Baukon_neu[[#This Row],[GWP '[kg CO2-Äqu./m²'] min]]/'Ausgabe Tabellen'!$C$21+Baukon_neu[[#This Row],[PENRT '[MJ/m²'] min]]/'Ausgabe Tabellen'!$C$22+Baukon_neu[[#This Row],[RMI '[kg Primärrohstoffe/m²'] min]]/'Ausgabe Tabellen'!$C$23+Baukon_neu[[#This Row],[WDP '[m² weighted water/m²'] min]]/'Ausgabe Tabellen'!$C$24</f>
        <v>0</v>
      </c>
      <c r="AZ44" s="78">
        <f>Baukon_neu[[#This Row],[GWP '[kg CO2-Äqu./m²'] max]]/'Ausgabe Tabellen'!$C$21+Baukon_neu[[#This Row],[PENRT '[MJ/m²'] max]]/'Ausgabe Tabellen'!$C$22+Baukon_neu[[#This Row],[RMI '[kg Primärrohstoffe/m²'] max]]/'Ausgabe Tabellen'!$C$23+Baukon_neu[[#This Row],[WDP '[m² weighted water/m²'] max]]/'Ausgabe Tabellen'!$C$24</f>
        <v>0</v>
      </c>
    </row>
    <row r="45" spans="1:52" x14ac:dyDescent="0.65">
      <c r="A45" s="73" t="s">
        <v>244</v>
      </c>
      <c r="B45" s="74"/>
      <c r="C45" s="74"/>
      <c r="D45" s="74"/>
      <c r="E45" s="106" t="str">
        <f>Baukon_neu[[#This Row],[Variante Nummer]]&amp;". "&amp;Baukon_neu[[#This Row],[Name Baukonstruktion]]&amp;" | " &amp;Baukon_neu[[#This Row],[Variante Name]]</f>
        <v xml:space="preserve">.  | </v>
      </c>
      <c r="F45" s="128" t="str">
        <f>IF(IFERROR(_xlfn.XLOOKUP(Baukon_neu[[#This Row],[ID Baukonstruktion]],Baukon_alle_A1_A3_results[ID Baukonstruktion],Baukon_alle_A1_A3_results[ID Baukonstruktion]),"okay")="okay", "okay","Achtung, id wird bereits verwendet")</f>
        <v>okay</v>
      </c>
      <c r="G45" s="75"/>
      <c r="H45" s="73" t="s">
        <v>244</v>
      </c>
      <c r="I45" s="73" t="s">
        <v>244</v>
      </c>
      <c r="J45" s="74"/>
      <c r="K45" s="68">
        <f>IF(Baukon_neu[[#This Row],[ist Dämmstoff?]]="ja",Baukon_neu[[#This Row],[Dicke '[mm'] Referenz]]+_xlfn.XLOOKUP(RIGHT(Baukon_neu[[#Headers],[Dicke '[mm'] min]],3),Dämmstoffvarianten[Variante],Dämmstoffvarianten[Differenz Dämmstoffedicke zu Referenz '[mm']]),Baukon_neu[[#This Row],[Dicke '[mm'] Referenz]])</f>
        <v>0</v>
      </c>
      <c r="L45" s="68">
        <f>IF(Baukon_neu[[#This Row],[ist Dämmstoff?]]="ja",Baukon_neu[[#This Row],[Dicke '[mm'] Referenz]]+_xlfn.XLOOKUP(RIGHT(Baukon_neu[[#Headers],[Dicke '[mm'] max]],3),Dämmstoffvarianten[Variante],Dämmstoffvarianten[Differenz Dämmstoffedicke zu Referenz '[mm']]),Baukon_neu[[#This Row],[Dicke '[mm'] Referenz]])</f>
        <v>0</v>
      </c>
      <c r="M45" s="76">
        <v>1</v>
      </c>
      <c r="N45" s="75"/>
      <c r="O45" s="69">
        <f>IFERROR(Baukon_neu[[#This Row],[Dicke '[mm'] Referenz]]/1000*Baukon_neu[[#This Row],[Flächenanteil '[%']]],"")</f>
        <v>0</v>
      </c>
      <c r="P45" s="69">
        <f>IFERROR(Baukon_neu[[#This Row],[Dicke '[mm'] min]]/1000*Baukon_neu[[#This Row],[Flächenanteil '[%']]],"")</f>
        <v>0</v>
      </c>
      <c r="Q45" s="69">
        <f>IFERROR(Baukon_neu[[#This Row],[Dicke '[mm'] max]]/1000*Baukon_neu[[#This Row],[Flächenanteil '[%']]],"")</f>
        <v>0</v>
      </c>
      <c r="R45" s="77" t="s">
        <v>226</v>
      </c>
      <c r="S45" s="69" t="str">
        <f>IFERROR(_xlfn.XLOOKUP(Baukon_neu[[#This Row],[Produkt]],LeitRess_Materialien[Name],LeitRess_Materialien[Material_UUID]),"")</f>
        <v>0</v>
      </c>
      <c r="T45" s="69">
        <f>IF(OR(Baukon_neu[[#This Row],[Rohdichte '[kg/m³'], Eingabe ]]="", Baukon_neu[[#This Row],[Rohdichte '[kg/m³'], Eingabe ]]="0"),_xlfn.XLOOKUP(Baukon_neu[[#This Row],[LCA Datensatz]],LeitRess_Materialien[Material_UUID],LeitRess_Materialien[Rohdichte_'[kg/m3']]),Baukon_neu[[#This Row],[Rohdichte '[kg/m³'], Eingabe ]])</f>
        <v>0</v>
      </c>
      <c r="U45" s="69">
        <f>IF(OR(Baukon_neu[[#This Row],[Flächengewicht '[kg/m²'], Eingabe ]]="", Baukon_neu[[#This Row],[Flächengewicht '[kg/m²'], Eingabe ]]="0"),_xlfn.XLOOKUP(Baukon_neu[[#This Row],[LCA Datensatz]],LeitRess_Materialien[Material_UUID],LeitRess_Materialien[Flächengewicht_'[kg/m2']]),Baukon_neu[[#This Row],[Flächengewicht '[kg/m²'], Eingabe ]])</f>
        <v>0</v>
      </c>
      <c r="V45" s="69">
        <f>IF(OR(Baukon_neu[[#This Row],[Längengewicht '[kg/m'], Eingabe ]]="", Baukon_neu[[#This Row],[Längengewicht '[kg/m'], Eingabe ]]="0"),_xlfn.XLOOKUP(Baukon_neu[[#This Row],[LCA Datensatz]],LeitRess_Materialien[Material_UUID],LeitRess_Materialien[Längengewicht_'[kg/m']]),Baukon_neu[[#This Row],[Längengewicht '[kg/m'], Eingabe ]])</f>
        <v>0</v>
      </c>
      <c r="W45" s="69">
        <f>IF(OR(Baukon_neu[[#This Row],[lambda_'[W/mK'], Eingabe ]]="", Baukon_neu[[#This Row],[lambda_'[W/mK'], Eingabe ]]="0"),_xlfn.XLOOKUP(Baukon_neu[[#This Row],[LCA Datensatz]],LeitRess_Materialien[Material_UUID],LeitRess_Materialien[lambda_'[W/mK']]),Baukon_neu[[#This Row],[lambda_'[W/mK'], Eingabe ]])</f>
        <v>0</v>
      </c>
      <c r="X45" s="75"/>
      <c r="Y45" s="75"/>
      <c r="Z45" s="75"/>
      <c r="AA45" s="75"/>
      <c r="AB45" s="69">
        <f>IFERROR(
    IF(Baukon_neu[[#This Row],[Länge '[m/m²']]]*Baukon_neu[[#This Row],[Längengewicht '[kg/m']]]&lt;&gt;0, Baukon_neu[[#This Row],[Länge '[m/m²']]]*Baukon_neu[[#This Row],[Längengewicht '[kg/m']]],
       IF( Baukon_neu[[#This Row],[Volumen '[m³/m²'] Referenz]]*Baukon_neu[[#This Row],[Rohdichte '[kg/m³']]]&lt;&gt;0,
        Baukon_neu[[#This Row],[Volumen '[m³/m²'] Referenz]]*Baukon_neu[[#This Row],[Rohdichte '[kg/m³']]],
                Baukon_neu[[#This Row],[Flächenanteil '[%']]]*Baukon_neu[[#This Row],[Flächengewicht '[kg/m²']]])),"")</f>
        <v>0</v>
      </c>
      <c r="AC45" s="69">
        <f>IFERROR(
    IF(Baukon_neu[[#This Row],[Länge '[m/m²']]]*Baukon_neu[[#This Row],[Längengewicht '[kg/m']]]&lt;&gt;0, Baukon_neu[[#This Row],[Länge '[m/m²']]]*Baukon_neu[[#This Row],[Längengewicht '[kg/m']]],
       IF( Baukon_neu[[#This Row],[Volumen '[m³/m²'] min]]*Baukon_neu[[#This Row],[Rohdichte '[kg/m³']]]&lt;&gt;0,
        Baukon_neu[[#This Row],[Volumen '[m³/m²'] min]]*Baukon_neu[[#This Row],[Rohdichte '[kg/m³']]],
                Baukon_neu[[#This Row],[Flächenanteil '[%']]]*Baukon_neu[[#This Row],[Flächengewicht '[kg/m²']]])),"")</f>
        <v>0</v>
      </c>
      <c r="AD45" s="69">
        <f>IFERROR(
    IF(Baukon_neu[[#This Row],[Länge '[m/m²']]]*Baukon_neu[[#This Row],[Längengewicht '[kg/m']]]&lt;&gt;0, Baukon_neu[[#This Row],[Länge '[m/m²']]]*Baukon_neu[[#This Row],[Längengewicht '[kg/m']]],
       IF( Baukon_neu[[#This Row],[Volumen '[m³/m²'] max]]*Baukon_neu[[#This Row],[Rohdichte '[kg/m³']]]&lt;&gt;0,
        Baukon_neu[[#This Row],[Volumen '[m³/m²'] max]]*Baukon_neu[[#This Row],[Rohdichte '[kg/m³']]],
                Baukon_neu[[#This Row],[Flächenanteil '[%']]]*Baukon_neu[[#This Row],[Flächengewicht '[kg/m²']]])),"")</f>
        <v>0</v>
      </c>
      <c r="AE45" s="69" t="str">
        <f>IFERROR(Baukon_neu[[#This Row],[Dicke '[mm'] Referenz]]/Baukon_neu[[#This Row],[lambda_'[W/mK']]],"")</f>
        <v/>
      </c>
      <c r="AF45" s="70">
        <f>_xlfn.XLOOKUP(Baukon_neu[[#This Row],[LCA Datensatz]],LeitRess_Materialien[Material_UUID],LeitRess_Materialien[RMI '[kg Primärrohstoffe / kg']])*Baukon_neu[[#This Row],[Masse '[kg/m²'] Referenz]]</f>
        <v>0</v>
      </c>
      <c r="AG45" s="70">
        <f>_xlfn.XLOOKUP(Baukon_neu[[#This Row],[LCA Datensatz]],LeitRess_Materialien[Material_UUID],LeitRess_Materialien[RMI '[kg Primärrohstoffe / kg']])*Baukon_neu[[#This Row],[Masse '[kg/m²'] min]]</f>
        <v>0</v>
      </c>
      <c r="AH45" s="70">
        <f>_xlfn.XLOOKUP(Baukon_neu[[#This Row],[LCA Datensatz]],LeitRess_Materialien[Material_UUID],LeitRess_Materialien[RMI '[kg Primärrohstoffe / kg']])*Baukon_neu[[#This Row],[Masse '[kg/m²'] max]]</f>
        <v>0</v>
      </c>
      <c r="AI45" s="70">
        <f>_xlfn.XLOOKUP(Baukon_neu[[#This Row],[LCA Datensatz]],LeitRess_Materialien[Material_UUID],LeitRess_Materialien[TMR '[kg Gesamtmaterialaufwand/kg']])*Baukon_neu[[#This Row],[Masse '[kg/m²'] Referenz]]</f>
        <v>0</v>
      </c>
      <c r="AJ45" s="70">
        <f>_xlfn.XLOOKUP(Baukon_neu[[#This Row],[LCA Datensatz]],LeitRess_Materialien[Material_UUID],LeitRess_Materialien[TMR '[kg Gesamtmaterialaufwand/kg']])*Baukon_neu[[#This Row],[Masse '[kg/m²'] min]]</f>
        <v>0</v>
      </c>
      <c r="AK45" s="70">
        <f>_xlfn.XLOOKUP(Baukon_neu[[#This Row],[LCA Datensatz]],LeitRess_Materialien[Material_UUID],LeitRess_Materialien[TMR '[kg Gesamtmaterialaufwand/kg']])*Baukon_neu[[#This Row],[Masse '[kg/m²'] max]]</f>
        <v>0</v>
      </c>
      <c r="AL45" s="70">
        <f>_xlfn.XLOOKUP(Baukon_neu[[#This Row],[LCA Datensatz]],LeitRess_Materialien[Material_UUID],LeitRess_Materialien[GWP '[kg CO2-Äqu./kg']])*Baukon_neu[[#This Row],[Masse '[kg/m²'] Referenz]]</f>
        <v>0</v>
      </c>
      <c r="AM45" s="70">
        <f>_xlfn.XLOOKUP(Baukon_neu[[#This Row],[LCA Datensatz]],LeitRess_Materialien[Material_UUID],LeitRess_Materialien[GWP '[kg CO2-Äqu./kg']])*Baukon_neu[[#This Row],[Masse '[kg/m²'] min]]</f>
        <v>0</v>
      </c>
      <c r="AN45" s="70">
        <f>_xlfn.XLOOKUP(Baukon_neu[[#This Row],[LCA Datensatz]],LeitRess_Materialien[Material_UUID],LeitRess_Materialien[GWP '[kg CO2-Äqu./kg']])*Baukon_neu[[#This Row],[Masse '[kg/m²'] max]]</f>
        <v>0</v>
      </c>
      <c r="AO45" s="70">
        <f>_xlfn.XLOOKUP(Baukon_neu[[#This Row],[LCA Datensatz]],LeitRess_Materialien[Material_UUID],LeitRess_Materialien[PENRT '[MJ/kg']])*Baukon_neu[[#This Row],[Masse '[kg/m²'] Referenz]]</f>
        <v>0</v>
      </c>
      <c r="AP45" s="70">
        <f>_xlfn.XLOOKUP(Baukon_neu[[#This Row],[LCA Datensatz]],LeitRess_Materialien[Material_UUID],LeitRess_Materialien[PENRT '[MJ/kg']])*Baukon_neu[[#This Row],[Masse '[kg/m²'] min]]</f>
        <v>0</v>
      </c>
      <c r="AQ45" s="70">
        <f>_xlfn.XLOOKUP(Baukon_neu[[#This Row],[LCA Datensatz]],LeitRess_Materialien[Material_UUID],LeitRess_Materialien[PENRT '[MJ/kg']])*Baukon_neu[[#This Row],[Masse '[kg/m²'] max]]</f>
        <v>0</v>
      </c>
      <c r="AR45" s="70" t="e">
        <f>_xlfn.XLOOKUP(Baukon_neu[[#This Row],[LCA Datensatz]],LeitRess_Materialien[Material_UUID],#REF!)*Baukon_neu[[#This Row],[Masse '[kg/m²'] Referenz]]</f>
        <v>#REF!</v>
      </c>
      <c r="AS45" s="70" t="e">
        <f>_xlfn.XLOOKUP(Baukon_neu[[#This Row],[LCA Datensatz]],LeitRess_Materialien[Material_UUID],#REF!)*Baukon_neu[[#This Row],[Masse '[kg/m²'] min]]</f>
        <v>#REF!</v>
      </c>
      <c r="AT45" s="70" t="e">
        <f>_xlfn.XLOOKUP(Baukon_neu[[#This Row],[LCA Datensatz]],LeitRess_Materialien[Material_UUID],#REF!)*Baukon_neu[[#This Row],[Masse '[kg/m²'] max]]</f>
        <v>#REF!</v>
      </c>
      <c r="AU45" s="70">
        <f>_xlfn.XLOOKUP(Baukon_neu[[#This Row],[LCA Datensatz]],LeitRess_Materialien[Material_UUID],LeitRess_Materialien[WDP '[m³ weighted water/kg']])*Baukon_neu[[#This Row],[Masse '[kg/m²'] Referenz]]</f>
        <v>0</v>
      </c>
      <c r="AV45" s="70">
        <f>_xlfn.XLOOKUP(Baukon_neu[[#This Row],[LCA Datensatz]],LeitRess_Materialien[Material_UUID],LeitRess_Materialien[WDP '[m³ weighted water/kg']])*Baukon_neu[[#This Row],[Masse '[kg/m²'] min]]</f>
        <v>0</v>
      </c>
      <c r="AW45" s="70">
        <f>_xlfn.XLOOKUP(Baukon_neu[[#This Row],[LCA Datensatz]],LeitRess_Materialien[Material_UUID],LeitRess_Materialien[WDP '[m³ weighted water/kg']])*Baukon_neu[[#This Row],[Masse '[kg/m²'] max]]</f>
        <v>0</v>
      </c>
      <c r="AX45" s="78">
        <f>Baukon_neu[[#This Row],[GWP '[kg CO2-Äqu./m²'] Referenz]]/'Ausgabe Tabellen'!$C$21+Baukon_neu[[#This Row],[PENRT '[MJ/m²'] Referenz]]/'Ausgabe Tabellen'!$C$22+Baukon_neu[[#This Row],[RMI '[kg Primärrohstoffe/m²'] Referenz]]/'Ausgabe Tabellen'!$C$23+Baukon_neu[[#This Row],[WDP '[m² weighted water/m²'] Referenz]]/'Ausgabe Tabellen'!$C$24</f>
        <v>0</v>
      </c>
      <c r="AY45" s="78">
        <f>Baukon_neu[[#This Row],[GWP '[kg CO2-Äqu./m²'] min]]/'Ausgabe Tabellen'!$C$21+Baukon_neu[[#This Row],[PENRT '[MJ/m²'] min]]/'Ausgabe Tabellen'!$C$22+Baukon_neu[[#This Row],[RMI '[kg Primärrohstoffe/m²'] min]]/'Ausgabe Tabellen'!$C$23+Baukon_neu[[#This Row],[WDP '[m² weighted water/m²'] min]]/'Ausgabe Tabellen'!$C$24</f>
        <v>0</v>
      </c>
      <c r="AZ45" s="78">
        <f>Baukon_neu[[#This Row],[GWP '[kg CO2-Äqu./m²'] max]]/'Ausgabe Tabellen'!$C$21+Baukon_neu[[#This Row],[PENRT '[MJ/m²'] max]]/'Ausgabe Tabellen'!$C$22+Baukon_neu[[#This Row],[RMI '[kg Primärrohstoffe/m²'] max]]/'Ausgabe Tabellen'!$C$23+Baukon_neu[[#This Row],[WDP '[m² weighted water/m²'] max]]/'Ausgabe Tabellen'!$C$24</f>
        <v>0</v>
      </c>
    </row>
    <row r="46" spans="1:52" x14ac:dyDescent="0.65">
      <c r="A46" s="73" t="s">
        <v>244</v>
      </c>
      <c r="B46" s="74"/>
      <c r="C46" s="74"/>
      <c r="D46" s="74"/>
      <c r="E46" s="106" t="str">
        <f>Baukon_neu[[#This Row],[Variante Nummer]]&amp;". "&amp;Baukon_neu[[#This Row],[Name Baukonstruktion]]&amp;" | " &amp;Baukon_neu[[#This Row],[Variante Name]]</f>
        <v xml:space="preserve">.  | </v>
      </c>
      <c r="F46" s="128" t="str">
        <f>IF(IFERROR(_xlfn.XLOOKUP(Baukon_neu[[#This Row],[ID Baukonstruktion]],Baukon_alle_A1_A3_results[ID Baukonstruktion],Baukon_alle_A1_A3_results[ID Baukonstruktion]),"okay")="okay", "okay","Achtung, id wird bereits verwendet")</f>
        <v>okay</v>
      </c>
      <c r="G46" s="75"/>
      <c r="H46" s="73" t="s">
        <v>244</v>
      </c>
      <c r="I46" s="73" t="s">
        <v>244</v>
      </c>
      <c r="J46" s="74"/>
      <c r="K46" s="68">
        <f>IF(Baukon_neu[[#This Row],[ist Dämmstoff?]]="ja",Baukon_neu[[#This Row],[Dicke '[mm'] Referenz]]+_xlfn.XLOOKUP(RIGHT(Baukon_neu[[#Headers],[Dicke '[mm'] min]],3),Dämmstoffvarianten[Variante],Dämmstoffvarianten[Differenz Dämmstoffedicke zu Referenz '[mm']]),Baukon_neu[[#This Row],[Dicke '[mm'] Referenz]])</f>
        <v>0</v>
      </c>
      <c r="L46" s="68">
        <f>IF(Baukon_neu[[#This Row],[ist Dämmstoff?]]="ja",Baukon_neu[[#This Row],[Dicke '[mm'] Referenz]]+_xlfn.XLOOKUP(RIGHT(Baukon_neu[[#Headers],[Dicke '[mm'] max]],3),Dämmstoffvarianten[Variante],Dämmstoffvarianten[Differenz Dämmstoffedicke zu Referenz '[mm']]),Baukon_neu[[#This Row],[Dicke '[mm'] Referenz]])</f>
        <v>0</v>
      </c>
      <c r="M46" s="76">
        <v>1</v>
      </c>
      <c r="N46" s="75"/>
      <c r="O46" s="69">
        <f>IFERROR(Baukon_neu[[#This Row],[Dicke '[mm'] Referenz]]/1000*Baukon_neu[[#This Row],[Flächenanteil '[%']]],"")</f>
        <v>0</v>
      </c>
      <c r="P46" s="69">
        <f>IFERROR(Baukon_neu[[#This Row],[Dicke '[mm'] min]]/1000*Baukon_neu[[#This Row],[Flächenanteil '[%']]],"")</f>
        <v>0</v>
      </c>
      <c r="Q46" s="69">
        <f>IFERROR(Baukon_neu[[#This Row],[Dicke '[mm'] max]]/1000*Baukon_neu[[#This Row],[Flächenanteil '[%']]],"")</f>
        <v>0</v>
      </c>
      <c r="R46" s="77" t="s">
        <v>226</v>
      </c>
      <c r="S46" s="69" t="str">
        <f>IFERROR(_xlfn.XLOOKUP(Baukon_neu[[#This Row],[Produkt]],LeitRess_Materialien[Name],LeitRess_Materialien[Material_UUID]),"")</f>
        <v>0</v>
      </c>
      <c r="T46" s="69">
        <f>IF(OR(Baukon_neu[[#This Row],[Rohdichte '[kg/m³'], Eingabe ]]="", Baukon_neu[[#This Row],[Rohdichte '[kg/m³'], Eingabe ]]="0"),_xlfn.XLOOKUP(Baukon_neu[[#This Row],[LCA Datensatz]],LeitRess_Materialien[Material_UUID],LeitRess_Materialien[Rohdichte_'[kg/m3']]),Baukon_neu[[#This Row],[Rohdichte '[kg/m³'], Eingabe ]])</f>
        <v>0</v>
      </c>
      <c r="U46" s="69">
        <f>IF(OR(Baukon_neu[[#This Row],[Flächengewicht '[kg/m²'], Eingabe ]]="", Baukon_neu[[#This Row],[Flächengewicht '[kg/m²'], Eingabe ]]="0"),_xlfn.XLOOKUP(Baukon_neu[[#This Row],[LCA Datensatz]],LeitRess_Materialien[Material_UUID],LeitRess_Materialien[Flächengewicht_'[kg/m2']]),Baukon_neu[[#This Row],[Flächengewicht '[kg/m²'], Eingabe ]])</f>
        <v>0</v>
      </c>
      <c r="V46" s="69">
        <f>IF(OR(Baukon_neu[[#This Row],[Längengewicht '[kg/m'], Eingabe ]]="", Baukon_neu[[#This Row],[Längengewicht '[kg/m'], Eingabe ]]="0"),_xlfn.XLOOKUP(Baukon_neu[[#This Row],[LCA Datensatz]],LeitRess_Materialien[Material_UUID],LeitRess_Materialien[Längengewicht_'[kg/m']]),Baukon_neu[[#This Row],[Längengewicht '[kg/m'], Eingabe ]])</f>
        <v>0</v>
      </c>
      <c r="W46" s="69">
        <f>IF(OR(Baukon_neu[[#This Row],[lambda_'[W/mK'], Eingabe ]]="", Baukon_neu[[#This Row],[lambda_'[W/mK'], Eingabe ]]="0"),_xlfn.XLOOKUP(Baukon_neu[[#This Row],[LCA Datensatz]],LeitRess_Materialien[Material_UUID],LeitRess_Materialien[lambda_'[W/mK']]),Baukon_neu[[#This Row],[lambda_'[W/mK'], Eingabe ]])</f>
        <v>0</v>
      </c>
      <c r="X46" s="75"/>
      <c r="Y46" s="75"/>
      <c r="Z46" s="75"/>
      <c r="AA46" s="75"/>
      <c r="AB46" s="69">
        <f>IFERROR(
    IF(Baukon_neu[[#This Row],[Länge '[m/m²']]]*Baukon_neu[[#This Row],[Längengewicht '[kg/m']]]&lt;&gt;0, Baukon_neu[[#This Row],[Länge '[m/m²']]]*Baukon_neu[[#This Row],[Längengewicht '[kg/m']]],
       IF( Baukon_neu[[#This Row],[Volumen '[m³/m²'] Referenz]]*Baukon_neu[[#This Row],[Rohdichte '[kg/m³']]]&lt;&gt;0,
        Baukon_neu[[#This Row],[Volumen '[m³/m²'] Referenz]]*Baukon_neu[[#This Row],[Rohdichte '[kg/m³']]],
                Baukon_neu[[#This Row],[Flächenanteil '[%']]]*Baukon_neu[[#This Row],[Flächengewicht '[kg/m²']]])),"")</f>
        <v>0</v>
      </c>
      <c r="AC46" s="69">
        <f>IFERROR(
    IF(Baukon_neu[[#This Row],[Länge '[m/m²']]]*Baukon_neu[[#This Row],[Längengewicht '[kg/m']]]&lt;&gt;0, Baukon_neu[[#This Row],[Länge '[m/m²']]]*Baukon_neu[[#This Row],[Längengewicht '[kg/m']]],
       IF( Baukon_neu[[#This Row],[Volumen '[m³/m²'] min]]*Baukon_neu[[#This Row],[Rohdichte '[kg/m³']]]&lt;&gt;0,
        Baukon_neu[[#This Row],[Volumen '[m³/m²'] min]]*Baukon_neu[[#This Row],[Rohdichte '[kg/m³']]],
                Baukon_neu[[#This Row],[Flächenanteil '[%']]]*Baukon_neu[[#This Row],[Flächengewicht '[kg/m²']]])),"")</f>
        <v>0</v>
      </c>
      <c r="AD46" s="69">
        <f>IFERROR(
    IF(Baukon_neu[[#This Row],[Länge '[m/m²']]]*Baukon_neu[[#This Row],[Längengewicht '[kg/m']]]&lt;&gt;0, Baukon_neu[[#This Row],[Länge '[m/m²']]]*Baukon_neu[[#This Row],[Längengewicht '[kg/m']]],
       IF( Baukon_neu[[#This Row],[Volumen '[m³/m²'] max]]*Baukon_neu[[#This Row],[Rohdichte '[kg/m³']]]&lt;&gt;0,
        Baukon_neu[[#This Row],[Volumen '[m³/m²'] max]]*Baukon_neu[[#This Row],[Rohdichte '[kg/m³']]],
                Baukon_neu[[#This Row],[Flächenanteil '[%']]]*Baukon_neu[[#This Row],[Flächengewicht '[kg/m²']]])),"")</f>
        <v>0</v>
      </c>
      <c r="AE46" s="69" t="str">
        <f>IFERROR(Baukon_neu[[#This Row],[Dicke '[mm'] Referenz]]/Baukon_neu[[#This Row],[lambda_'[W/mK']]],"")</f>
        <v/>
      </c>
      <c r="AF46" s="70">
        <f>_xlfn.XLOOKUP(Baukon_neu[[#This Row],[LCA Datensatz]],LeitRess_Materialien[Material_UUID],LeitRess_Materialien[RMI '[kg Primärrohstoffe / kg']])*Baukon_neu[[#This Row],[Masse '[kg/m²'] Referenz]]</f>
        <v>0</v>
      </c>
      <c r="AG46" s="70">
        <f>_xlfn.XLOOKUP(Baukon_neu[[#This Row],[LCA Datensatz]],LeitRess_Materialien[Material_UUID],LeitRess_Materialien[RMI '[kg Primärrohstoffe / kg']])*Baukon_neu[[#This Row],[Masse '[kg/m²'] min]]</f>
        <v>0</v>
      </c>
      <c r="AH46" s="70">
        <f>_xlfn.XLOOKUP(Baukon_neu[[#This Row],[LCA Datensatz]],LeitRess_Materialien[Material_UUID],LeitRess_Materialien[RMI '[kg Primärrohstoffe / kg']])*Baukon_neu[[#This Row],[Masse '[kg/m²'] max]]</f>
        <v>0</v>
      </c>
      <c r="AI46" s="70">
        <f>_xlfn.XLOOKUP(Baukon_neu[[#This Row],[LCA Datensatz]],LeitRess_Materialien[Material_UUID],LeitRess_Materialien[TMR '[kg Gesamtmaterialaufwand/kg']])*Baukon_neu[[#This Row],[Masse '[kg/m²'] Referenz]]</f>
        <v>0</v>
      </c>
      <c r="AJ46" s="70">
        <f>_xlfn.XLOOKUP(Baukon_neu[[#This Row],[LCA Datensatz]],LeitRess_Materialien[Material_UUID],LeitRess_Materialien[TMR '[kg Gesamtmaterialaufwand/kg']])*Baukon_neu[[#This Row],[Masse '[kg/m²'] min]]</f>
        <v>0</v>
      </c>
      <c r="AK46" s="70">
        <f>_xlfn.XLOOKUP(Baukon_neu[[#This Row],[LCA Datensatz]],LeitRess_Materialien[Material_UUID],LeitRess_Materialien[TMR '[kg Gesamtmaterialaufwand/kg']])*Baukon_neu[[#This Row],[Masse '[kg/m²'] max]]</f>
        <v>0</v>
      </c>
      <c r="AL46" s="70">
        <f>_xlfn.XLOOKUP(Baukon_neu[[#This Row],[LCA Datensatz]],LeitRess_Materialien[Material_UUID],LeitRess_Materialien[GWP '[kg CO2-Äqu./kg']])*Baukon_neu[[#This Row],[Masse '[kg/m²'] Referenz]]</f>
        <v>0</v>
      </c>
      <c r="AM46" s="70">
        <f>_xlfn.XLOOKUP(Baukon_neu[[#This Row],[LCA Datensatz]],LeitRess_Materialien[Material_UUID],LeitRess_Materialien[GWP '[kg CO2-Äqu./kg']])*Baukon_neu[[#This Row],[Masse '[kg/m²'] min]]</f>
        <v>0</v>
      </c>
      <c r="AN46" s="70">
        <f>_xlfn.XLOOKUP(Baukon_neu[[#This Row],[LCA Datensatz]],LeitRess_Materialien[Material_UUID],LeitRess_Materialien[GWP '[kg CO2-Äqu./kg']])*Baukon_neu[[#This Row],[Masse '[kg/m²'] max]]</f>
        <v>0</v>
      </c>
      <c r="AO46" s="70">
        <f>_xlfn.XLOOKUP(Baukon_neu[[#This Row],[LCA Datensatz]],LeitRess_Materialien[Material_UUID],LeitRess_Materialien[PENRT '[MJ/kg']])*Baukon_neu[[#This Row],[Masse '[kg/m²'] Referenz]]</f>
        <v>0</v>
      </c>
      <c r="AP46" s="70">
        <f>_xlfn.XLOOKUP(Baukon_neu[[#This Row],[LCA Datensatz]],LeitRess_Materialien[Material_UUID],LeitRess_Materialien[PENRT '[MJ/kg']])*Baukon_neu[[#This Row],[Masse '[kg/m²'] min]]</f>
        <v>0</v>
      </c>
      <c r="AQ46" s="70">
        <f>_xlfn.XLOOKUP(Baukon_neu[[#This Row],[LCA Datensatz]],LeitRess_Materialien[Material_UUID],LeitRess_Materialien[PENRT '[MJ/kg']])*Baukon_neu[[#This Row],[Masse '[kg/m²'] max]]</f>
        <v>0</v>
      </c>
      <c r="AR46" s="70" t="e">
        <f>_xlfn.XLOOKUP(Baukon_neu[[#This Row],[LCA Datensatz]],LeitRess_Materialien[Material_UUID],#REF!)*Baukon_neu[[#This Row],[Masse '[kg/m²'] Referenz]]</f>
        <v>#REF!</v>
      </c>
      <c r="AS46" s="70" t="e">
        <f>_xlfn.XLOOKUP(Baukon_neu[[#This Row],[LCA Datensatz]],LeitRess_Materialien[Material_UUID],#REF!)*Baukon_neu[[#This Row],[Masse '[kg/m²'] min]]</f>
        <v>#REF!</v>
      </c>
      <c r="AT46" s="70" t="e">
        <f>_xlfn.XLOOKUP(Baukon_neu[[#This Row],[LCA Datensatz]],LeitRess_Materialien[Material_UUID],#REF!)*Baukon_neu[[#This Row],[Masse '[kg/m²'] max]]</f>
        <v>#REF!</v>
      </c>
      <c r="AU46" s="70">
        <f>_xlfn.XLOOKUP(Baukon_neu[[#This Row],[LCA Datensatz]],LeitRess_Materialien[Material_UUID],LeitRess_Materialien[WDP '[m³ weighted water/kg']])*Baukon_neu[[#This Row],[Masse '[kg/m²'] Referenz]]</f>
        <v>0</v>
      </c>
      <c r="AV46" s="70">
        <f>_xlfn.XLOOKUP(Baukon_neu[[#This Row],[LCA Datensatz]],LeitRess_Materialien[Material_UUID],LeitRess_Materialien[WDP '[m³ weighted water/kg']])*Baukon_neu[[#This Row],[Masse '[kg/m²'] min]]</f>
        <v>0</v>
      </c>
      <c r="AW46" s="70">
        <f>_xlfn.XLOOKUP(Baukon_neu[[#This Row],[LCA Datensatz]],LeitRess_Materialien[Material_UUID],LeitRess_Materialien[WDP '[m³ weighted water/kg']])*Baukon_neu[[#This Row],[Masse '[kg/m²'] max]]</f>
        <v>0</v>
      </c>
      <c r="AX46" s="78">
        <f>Baukon_neu[[#This Row],[GWP '[kg CO2-Äqu./m²'] Referenz]]/'Ausgabe Tabellen'!$C$21+Baukon_neu[[#This Row],[PENRT '[MJ/m²'] Referenz]]/'Ausgabe Tabellen'!$C$22+Baukon_neu[[#This Row],[RMI '[kg Primärrohstoffe/m²'] Referenz]]/'Ausgabe Tabellen'!$C$23+Baukon_neu[[#This Row],[WDP '[m² weighted water/m²'] Referenz]]/'Ausgabe Tabellen'!$C$24</f>
        <v>0</v>
      </c>
      <c r="AY46" s="78">
        <f>Baukon_neu[[#This Row],[GWP '[kg CO2-Äqu./m²'] min]]/'Ausgabe Tabellen'!$C$21+Baukon_neu[[#This Row],[PENRT '[MJ/m²'] min]]/'Ausgabe Tabellen'!$C$22+Baukon_neu[[#This Row],[RMI '[kg Primärrohstoffe/m²'] min]]/'Ausgabe Tabellen'!$C$23+Baukon_neu[[#This Row],[WDP '[m² weighted water/m²'] min]]/'Ausgabe Tabellen'!$C$24</f>
        <v>0</v>
      </c>
      <c r="AZ46" s="78">
        <f>Baukon_neu[[#This Row],[GWP '[kg CO2-Äqu./m²'] max]]/'Ausgabe Tabellen'!$C$21+Baukon_neu[[#This Row],[PENRT '[MJ/m²'] max]]/'Ausgabe Tabellen'!$C$22+Baukon_neu[[#This Row],[RMI '[kg Primärrohstoffe/m²'] max]]/'Ausgabe Tabellen'!$C$23+Baukon_neu[[#This Row],[WDP '[m² weighted water/m²'] max]]/'Ausgabe Tabellen'!$C$24</f>
        <v>0</v>
      </c>
    </row>
    <row r="47" spans="1:52" x14ac:dyDescent="0.65">
      <c r="A47" s="73" t="s">
        <v>244</v>
      </c>
      <c r="B47" s="74"/>
      <c r="C47" s="74"/>
      <c r="D47" s="74"/>
      <c r="E47" s="106" t="str">
        <f>Baukon_neu[[#This Row],[Variante Nummer]]&amp;". "&amp;Baukon_neu[[#This Row],[Name Baukonstruktion]]&amp;" | " &amp;Baukon_neu[[#This Row],[Variante Name]]</f>
        <v xml:space="preserve">.  | </v>
      </c>
      <c r="F47" s="128" t="str">
        <f>IF(IFERROR(_xlfn.XLOOKUP(Baukon_neu[[#This Row],[ID Baukonstruktion]],Baukon_alle_A1_A3_results[ID Baukonstruktion],Baukon_alle_A1_A3_results[ID Baukonstruktion]),"okay")="okay", "okay","Achtung, id wird bereits verwendet")</f>
        <v>okay</v>
      </c>
      <c r="G47" s="75"/>
      <c r="H47" s="73" t="s">
        <v>244</v>
      </c>
      <c r="I47" s="73" t="s">
        <v>244</v>
      </c>
      <c r="J47" s="74"/>
      <c r="K47" s="68">
        <f>IF(Baukon_neu[[#This Row],[ist Dämmstoff?]]="ja",Baukon_neu[[#This Row],[Dicke '[mm'] Referenz]]+_xlfn.XLOOKUP(RIGHT(Baukon_neu[[#Headers],[Dicke '[mm'] min]],3),Dämmstoffvarianten[Variante],Dämmstoffvarianten[Differenz Dämmstoffedicke zu Referenz '[mm']]),Baukon_neu[[#This Row],[Dicke '[mm'] Referenz]])</f>
        <v>0</v>
      </c>
      <c r="L47" s="68">
        <f>IF(Baukon_neu[[#This Row],[ist Dämmstoff?]]="ja",Baukon_neu[[#This Row],[Dicke '[mm'] Referenz]]+_xlfn.XLOOKUP(RIGHT(Baukon_neu[[#Headers],[Dicke '[mm'] max]],3),Dämmstoffvarianten[Variante],Dämmstoffvarianten[Differenz Dämmstoffedicke zu Referenz '[mm']]),Baukon_neu[[#This Row],[Dicke '[mm'] Referenz]])</f>
        <v>0</v>
      </c>
      <c r="M47" s="76">
        <v>1</v>
      </c>
      <c r="N47" s="75"/>
      <c r="O47" s="69">
        <f>IFERROR(Baukon_neu[[#This Row],[Dicke '[mm'] Referenz]]/1000*Baukon_neu[[#This Row],[Flächenanteil '[%']]],"")</f>
        <v>0</v>
      </c>
      <c r="P47" s="69">
        <f>IFERROR(Baukon_neu[[#This Row],[Dicke '[mm'] min]]/1000*Baukon_neu[[#This Row],[Flächenanteil '[%']]],"")</f>
        <v>0</v>
      </c>
      <c r="Q47" s="69">
        <f>IFERROR(Baukon_neu[[#This Row],[Dicke '[mm'] max]]/1000*Baukon_neu[[#This Row],[Flächenanteil '[%']]],"")</f>
        <v>0</v>
      </c>
      <c r="R47" s="77" t="s">
        <v>226</v>
      </c>
      <c r="S47" s="69" t="str">
        <f>IFERROR(_xlfn.XLOOKUP(Baukon_neu[[#This Row],[Produkt]],LeitRess_Materialien[Name],LeitRess_Materialien[Material_UUID]),"")</f>
        <v>0</v>
      </c>
      <c r="T47" s="69">
        <f>IF(OR(Baukon_neu[[#This Row],[Rohdichte '[kg/m³'], Eingabe ]]="", Baukon_neu[[#This Row],[Rohdichte '[kg/m³'], Eingabe ]]="0"),_xlfn.XLOOKUP(Baukon_neu[[#This Row],[LCA Datensatz]],LeitRess_Materialien[Material_UUID],LeitRess_Materialien[Rohdichte_'[kg/m3']]),Baukon_neu[[#This Row],[Rohdichte '[kg/m³'], Eingabe ]])</f>
        <v>0</v>
      </c>
      <c r="U47" s="69">
        <f>IF(OR(Baukon_neu[[#This Row],[Flächengewicht '[kg/m²'], Eingabe ]]="", Baukon_neu[[#This Row],[Flächengewicht '[kg/m²'], Eingabe ]]="0"),_xlfn.XLOOKUP(Baukon_neu[[#This Row],[LCA Datensatz]],LeitRess_Materialien[Material_UUID],LeitRess_Materialien[Flächengewicht_'[kg/m2']]),Baukon_neu[[#This Row],[Flächengewicht '[kg/m²'], Eingabe ]])</f>
        <v>0</v>
      </c>
      <c r="V47" s="69">
        <f>IF(OR(Baukon_neu[[#This Row],[Längengewicht '[kg/m'], Eingabe ]]="", Baukon_neu[[#This Row],[Längengewicht '[kg/m'], Eingabe ]]="0"),_xlfn.XLOOKUP(Baukon_neu[[#This Row],[LCA Datensatz]],LeitRess_Materialien[Material_UUID],LeitRess_Materialien[Längengewicht_'[kg/m']]),Baukon_neu[[#This Row],[Längengewicht '[kg/m'], Eingabe ]])</f>
        <v>0</v>
      </c>
      <c r="W47" s="69">
        <f>IF(OR(Baukon_neu[[#This Row],[lambda_'[W/mK'], Eingabe ]]="", Baukon_neu[[#This Row],[lambda_'[W/mK'], Eingabe ]]="0"),_xlfn.XLOOKUP(Baukon_neu[[#This Row],[LCA Datensatz]],LeitRess_Materialien[Material_UUID],LeitRess_Materialien[lambda_'[W/mK']]),Baukon_neu[[#This Row],[lambda_'[W/mK'], Eingabe ]])</f>
        <v>0</v>
      </c>
      <c r="X47" s="75"/>
      <c r="Y47" s="75"/>
      <c r="Z47" s="75"/>
      <c r="AA47" s="75"/>
      <c r="AB47" s="69">
        <f>IFERROR(
    IF(Baukon_neu[[#This Row],[Länge '[m/m²']]]*Baukon_neu[[#This Row],[Längengewicht '[kg/m']]]&lt;&gt;0, Baukon_neu[[#This Row],[Länge '[m/m²']]]*Baukon_neu[[#This Row],[Längengewicht '[kg/m']]],
       IF( Baukon_neu[[#This Row],[Volumen '[m³/m²'] Referenz]]*Baukon_neu[[#This Row],[Rohdichte '[kg/m³']]]&lt;&gt;0,
        Baukon_neu[[#This Row],[Volumen '[m³/m²'] Referenz]]*Baukon_neu[[#This Row],[Rohdichte '[kg/m³']]],
                Baukon_neu[[#This Row],[Flächenanteil '[%']]]*Baukon_neu[[#This Row],[Flächengewicht '[kg/m²']]])),"")</f>
        <v>0</v>
      </c>
      <c r="AC47" s="69">
        <f>IFERROR(
    IF(Baukon_neu[[#This Row],[Länge '[m/m²']]]*Baukon_neu[[#This Row],[Längengewicht '[kg/m']]]&lt;&gt;0, Baukon_neu[[#This Row],[Länge '[m/m²']]]*Baukon_neu[[#This Row],[Längengewicht '[kg/m']]],
       IF( Baukon_neu[[#This Row],[Volumen '[m³/m²'] min]]*Baukon_neu[[#This Row],[Rohdichte '[kg/m³']]]&lt;&gt;0,
        Baukon_neu[[#This Row],[Volumen '[m³/m²'] min]]*Baukon_neu[[#This Row],[Rohdichte '[kg/m³']]],
                Baukon_neu[[#This Row],[Flächenanteil '[%']]]*Baukon_neu[[#This Row],[Flächengewicht '[kg/m²']]])),"")</f>
        <v>0</v>
      </c>
      <c r="AD47" s="69">
        <f>IFERROR(
    IF(Baukon_neu[[#This Row],[Länge '[m/m²']]]*Baukon_neu[[#This Row],[Längengewicht '[kg/m']]]&lt;&gt;0, Baukon_neu[[#This Row],[Länge '[m/m²']]]*Baukon_neu[[#This Row],[Längengewicht '[kg/m']]],
       IF( Baukon_neu[[#This Row],[Volumen '[m³/m²'] max]]*Baukon_neu[[#This Row],[Rohdichte '[kg/m³']]]&lt;&gt;0,
        Baukon_neu[[#This Row],[Volumen '[m³/m²'] max]]*Baukon_neu[[#This Row],[Rohdichte '[kg/m³']]],
                Baukon_neu[[#This Row],[Flächenanteil '[%']]]*Baukon_neu[[#This Row],[Flächengewicht '[kg/m²']]])),"")</f>
        <v>0</v>
      </c>
      <c r="AE47" s="69" t="str">
        <f>IFERROR(Baukon_neu[[#This Row],[Dicke '[mm'] Referenz]]/Baukon_neu[[#This Row],[lambda_'[W/mK']]],"")</f>
        <v/>
      </c>
      <c r="AF47" s="70">
        <f>_xlfn.XLOOKUP(Baukon_neu[[#This Row],[LCA Datensatz]],LeitRess_Materialien[Material_UUID],LeitRess_Materialien[RMI '[kg Primärrohstoffe / kg']])*Baukon_neu[[#This Row],[Masse '[kg/m²'] Referenz]]</f>
        <v>0</v>
      </c>
      <c r="AG47" s="70">
        <f>_xlfn.XLOOKUP(Baukon_neu[[#This Row],[LCA Datensatz]],LeitRess_Materialien[Material_UUID],LeitRess_Materialien[RMI '[kg Primärrohstoffe / kg']])*Baukon_neu[[#This Row],[Masse '[kg/m²'] min]]</f>
        <v>0</v>
      </c>
      <c r="AH47" s="70">
        <f>_xlfn.XLOOKUP(Baukon_neu[[#This Row],[LCA Datensatz]],LeitRess_Materialien[Material_UUID],LeitRess_Materialien[RMI '[kg Primärrohstoffe / kg']])*Baukon_neu[[#This Row],[Masse '[kg/m²'] max]]</f>
        <v>0</v>
      </c>
      <c r="AI47" s="70">
        <f>_xlfn.XLOOKUP(Baukon_neu[[#This Row],[LCA Datensatz]],LeitRess_Materialien[Material_UUID],LeitRess_Materialien[TMR '[kg Gesamtmaterialaufwand/kg']])*Baukon_neu[[#This Row],[Masse '[kg/m²'] Referenz]]</f>
        <v>0</v>
      </c>
      <c r="AJ47" s="70">
        <f>_xlfn.XLOOKUP(Baukon_neu[[#This Row],[LCA Datensatz]],LeitRess_Materialien[Material_UUID],LeitRess_Materialien[TMR '[kg Gesamtmaterialaufwand/kg']])*Baukon_neu[[#This Row],[Masse '[kg/m²'] min]]</f>
        <v>0</v>
      </c>
      <c r="AK47" s="70">
        <f>_xlfn.XLOOKUP(Baukon_neu[[#This Row],[LCA Datensatz]],LeitRess_Materialien[Material_UUID],LeitRess_Materialien[TMR '[kg Gesamtmaterialaufwand/kg']])*Baukon_neu[[#This Row],[Masse '[kg/m²'] max]]</f>
        <v>0</v>
      </c>
      <c r="AL47" s="70">
        <f>_xlfn.XLOOKUP(Baukon_neu[[#This Row],[LCA Datensatz]],LeitRess_Materialien[Material_UUID],LeitRess_Materialien[GWP '[kg CO2-Äqu./kg']])*Baukon_neu[[#This Row],[Masse '[kg/m²'] Referenz]]</f>
        <v>0</v>
      </c>
      <c r="AM47" s="70">
        <f>_xlfn.XLOOKUP(Baukon_neu[[#This Row],[LCA Datensatz]],LeitRess_Materialien[Material_UUID],LeitRess_Materialien[GWP '[kg CO2-Äqu./kg']])*Baukon_neu[[#This Row],[Masse '[kg/m²'] min]]</f>
        <v>0</v>
      </c>
      <c r="AN47" s="70">
        <f>_xlfn.XLOOKUP(Baukon_neu[[#This Row],[LCA Datensatz]],LeitRess_Materialien[Material_UUID],LeitRess_Materialien[GWP '[kg CO2-Äqu./kg']])*Baukon_neu[[#This Row],[Masse '[kg/m²'] max]]</f>
        <v>0</v>
      </c>
      <c r="AO47" s="70">
        <f>_xlfn.XLOOKUP(Baukon_neu[[#This Row],[LCA Datensatz]],LeitRess_Materialien[Material_UUID],LeitRess_Materialien[PENRT '[MJ/kg']])*Baukon_neu[[#This Row],[Masse '[kg/m²'] Referenz]]</f>
        <v>0</v>
      </c>
      <c r="AP47" s="70">
        <f>_xlfn.XLOOKUP(Baukon_neu[[#This Row],[LCA Datensatz]],LeitRess_Materialien[Material_UUID],LeitRess_Materialien[PENRT '[MJ/kg']])*Baukon_neu[[#This Row],[Masse '[kg/m²'] min]]</f>
        <v>0</v>
      </c>
      <c r="AQ47" s="70">
        <f>_xlfn.XLOOKUP(Baukon_neu[[#This Row],[LCA Datensatz]],LeitRess_Materialien[Material_UUID],LeitRess_Materialien[PENRT '[MJ/kg']])*Baukon_neu[[#This Row],[Masse '[kg/m²'] max]]</f>
        <v>0</v>
      </c>
      <c r="AR47" s="70" t="e">
        <f>_xlfn.XLOOKUP(Baukon_neu[[#This Row],[LCA Datensatz]],LeitRess_Materialien[Material_UUID],#REF!)*Baukon_neu[[#This Row],[Masse '[kg/m²'] Referenz]]</f>
        <v>#REF!</v>
      </c>
      <c r="AS47" s="70" t="e">
        <f>_xlfn.XLOOKUP(Baukon_neu[[#This Row],[LCA Datensatz]],LeitRess_Materialien[Material_UUID],#REF!)*Baukon_neu[[#This Row],[Masse '[kg/m²'] min]]</f>
        <v>#REF!</v>
      </c>
      <c r="AT47" s="70" t="e">
        <f>_xlfn.XLOOKUP(Baukon_neu[[#This Row],[LCA Datensatz]],LeitRess_Materialien[Material_UUID],#REF!)*Baukon_neu[[#This Row],[Masse '[kg/m²'] max]]</f>
        <v>#REF!</v>
      </c>
      <c r="AU47" s="70">
        <f>_xlfn.XLOOKUP(Baukon_neu[[#This Row],[LCA Datensatz]],LeitRess_Materialien[Material_UUID],LeitRess_Materialien[WDP '[m³ weighted water/kg']])*Baukon_neu[[#This Row],[Masse '[kg/m²'] Referenz]]</f>
        <v>0</v>
      </c>
      <c r="AV47" s="70">
        <f>_xlfn.XLOOKUP(Baukon_neu[[#This Row],[LCA Datensatz]],LeitRess_Materialien[Material_UUID],LeitRess_Materialien[WDP '[m³ weighted water/kg']])*Baukon_neu[[#This Row],[Masse '[kg/m²'] min]]</f>
        <v>0</v>
      </c>
      <c r="AW47" s="70">
        <f>_xlfn.XLOOKUP(Baukon_neu[[#This Row],[LCA Datensatz]],LeitRess_Materialien[Material_UUID],LeitRess_Materialien[WDP '[m³ weighted water/kg']])*Baukon_neu[[#This Row],[Masse '[kg/m²'] max]]</f>
        <v>0</v>
      </c>
      <c r="AX47" s="78">
        <f>Baukon_neu[[#This Row],[GWP '[kg CO2-Äqu./m²'] Referenz]]/'Ausgabe Tabellen'!$C$21+Baukon_neu[[#This Row],[PENRT '[MJ/m²'] Referenz]]/'Ausgabe Tabellen'!$C$22+Baukon_neu[[#This Row],[RMI '[kg Primärrohstoffe/m²'] Referenz]]/'Ausgabe Tabellen'!$C$23+Baukon_neu[[#This Row],[WDP '[m² weighted water/m²'] Referenz]]/'Ausgabe Tabellen'!$C$24</f>
        <v>0</v>
      </c>
      <c r="AY47" s="78">
        <f>Baukon_neu[[#This Row],[GWP '[kg CO2-Äqu./m²'] min]]/'Ausgabe Tabellen'!$C$21+Baukon_neu[[#This Row],[PENRT '[MJ/m²'] min]]/'Ausgabe Tabellen'!$C$22+Baukon_neu[[#This Row],[RMI '[kg Primärrohstoffe/m²'] min]]/'Ausgabe Tabellen'!$C$23+Baukon_neu[[#This Row],[WDP '[m² weighted water/m²'] min]]/'Ausgabe Tabellen'!$C$24</f>
        <v>0</v>
      </c>
      <c r="AZ47" s="78">
        <f>Baukon_neu[[#This Row],[GWP '[kg CO2-Äqu./m²'] max]]/'Ausgabe Tabellen'!$C$21+Baukon_neu[[#This Row],[PENRT '[MJ/m²'] max]]/'Ausgabe Tabellen'!$C$22+Baukon_neu[[#This Row],[RMI '[kg Primärrohstoffe/m²'] max]]/'Ausgabe Tabellen'!$C$23+Baukon_neu[[#This Row],[WDP '[m² weighted water/m²'] max]]/'Ausgabe Tabellen'!$C$24</f>
        <v>0</v>
      </c>
    </row>
    <row r="48" spans="1:52" x14ac:dyDescent="0.65">
      <c r="A48" s="73" t="s">
        <v>244</v>
      </c>
      <c r="B48" s="74"/>
      <c r="C48" s="74"/>
      <c r="D48" s="74"/>
      <c r="E48" s="106" t="str">
        <f>Baukon_neu[[#This Row],[Variante Nummer]]&amp;". "&amp;Baukon_neu[[#This Row],[Name Baukonstruktion]]&amp;" | " &amp;Baukon_neu[[#This Row],[Variante Name]]</f>
        <v xml:space="preserve">.  | </v>
      </c>
      <c r="F48" s="128" t="str">
        <f>IF(IFERROR(_xlfn.XLOOKUP(Baukon_neu[[#This Row],[ID Baukonstruktion]],Baukon_alle_A1_A3_results[ID Baukonstruktion],Baukon_alle_A1_A3_results[ID Baukonstruktion]),"okay")="okay", "okay","Achtung, id wird bereits verwendet")</f>
        <v>okay</v>
      </c>
      <c r="G48" s="75"/>
      <c r="H48" s="73" t="s">
        <v>244</v>
      </c>
      <c r="I48" s="73" t="s">
        <v>244</v>
      </c>
      <c r="J48" s="74"/>
      <c r="K48" s="68">
        <f>IF(Baukon_neu[[#This Row],[ist Dämmstoff?]]="ja",Baukon_neu[[#This Row],[Dicke '[mm'] Referenz]]+_xlfn.XLOOKUP(RIGHT(Baukon_neu[[#Headers],[Dicke '[mm'] min]],3),Dämmstoffvarianten[Variante],Dämmstoffvarianten[Differenz Dämmstoffedicke zu Referenz '[mm']]),Baukon_neu[[#This Row],[Dicke '[mm'] Referenz]])</f>
        <v>0</v>
      </c>
      <c r="L48" s="68">
        <f>IF(Baukon_neu[[#This Row],[ist Dämmstoff?]]="ja",Baukon_neu[[#This Row],[Dicke '[mm'] Referenz]]+_xlfn.XLOOKUP(RIGHT(Baukon_neu[[#Headers],[Dicke '[mm'] max]],3),Dämmstoffvarianten[Variante],Dämmstoffvarianten[Differenz Dämmstoffedicke zu Referenz '[mm']]),Baukon_neu[[#This Row],[Dicke '[mm'] Referenz]])</f>
        <v>0</v>
      </c>
      <c r="M48" s="109">
        <v>1</v>
      </c>
      <c r="N48" s="75"/>
      <c r="O48" s="69">
        <f>IFERROR(Baukon_neu[[#This Row],[Dicke '[mm'] Referenz]]/1000*Baukon_neu[[#This Row],[Flächenanteil '[%']]],"")</f>
        <v>0</v>
      </c>
      <c r="P48" s="69">
        <f>IFERROR(Baukon_neu[[#This Row],[Dicke '[mm'] min]]/1000*Baukon_neu[[#This Row],[Flächenanteil '[%']]],"")</f>
        <v>0</v>
      </c>
      <c r="Q48" s="69">
        <f>IFERROR(Baukon_neu[[#This Row],[Dicke '[mm'] max]]/1000*Baukon_neu[[#This Row],[Flächenanteil '[%']]],"")</f>
        <v>0</v>
      </c>
      <c r="R48" s="77" t="s">
        <v>226</v>
      </c>
      <c r="S48" s="69" t="str">
        <f>IFERROR(_xlfn.XLOOKUP(Baukon_neu[[#This Row],[Produkt]],LeitRess_Materialien[Name],LeitRess_Materialien[Material_UUID]),"")</f>
        <v>0</v>
      </c>
      <c r="T48" s="69">
        <f>IF(OR(Baukon_neu[[#This Row],[Rohdichte '[kg/m³'], Eingabe ]]="", Baukon_neu[[#This Row],[Rohdichte '[kg/m³'], Eingabe ]]="0"),_xlfn.XLOOKUP(Baukon_neu[[#This Row],[LCA Datensatz]],LeitRess_Materialien[Material_UUID],LeitRess_Materialien[Rohdichte_'[kg/m3']]),Baukon_neu[[#This Row],[Rohdichte '[kg/m³'], Eingabe ]])</f>
        <v>0</v>
      </c>
      <c r="U48" s="69">
        <f>IF(OR(Baukon_neu[[#This Row],[Flächengewicht '[kg/m²'], Eingabe ]]="", Baukon_neu[[#This Row],[Flächengewicht '[kg/m²'], Eingabe ]]="0"),_xlfn.XLOOKUP(Baukon_neu[[#This Row],[LCA Datensatz]],LeitRess_Materialien[Material_UUID],LeitRess_Materialien[Flächengewicht_'[kg/m2']]),Baukon_neu[[#This Row],[Flächengewicht '[kg/m²'], Eingabe ]])</f>
        <v>0</v>
      </c>
      <c r="V48" s="69">
        <f>IF(OR(Baukon_neu[[#This Row],[Längengewicht '[kg/m'], Eingabe ]]="", Baukon_neu[[#This Row],[Längengewicht '[kg/m'], Eingabe ]]="0"),_xlfn.XLOOKUP(Baukon_neu[[#This Row],[LCA Datensatz]],LeitRess_Materialien[Material_UUID],LeitRess_Materialien[Längengewicht_'[kg/m']]),Baukon_neu[[#This Row],[Längengewicht '[kg/m'], Eingabe ]])</f>
        <v>0</v>
      </c>
      <c r="W48" s="69">
        <f>IF(OR(Baukon_neu[[#This Row],[lambda_'[W/mK'], Eingabe ]]="", Baukon_neu[[#This Row],[lambda_'[W/mK'], Eingabe ]]="0"),_xlfn.XLOOKUP(Baukon_neu[[#This Row],[LCA Datensatz]],LeitRess_Materialien[Material_UUID],LeitRess_Materialien[lambda_'[W/mK']]),Baukon_neu[[#This Row],[lambda_'[W/mK'], Eingabe ]])</f>
        <v>0</v>
      </c>
      <c r="X48" s="77"/>
      <c r="Y48" s="77"/>
      <c r="Z48" s="77"/>
      <c r="AA48" s="77"/>
      <c r="AB48" s="69">
        <f>IFERROR(
    IF(Baukon_neu[[#This Row],[Länge '[m/m²']]]*Baukon_neu[[#This Row],[Längengewicht '[kg/m']]]&lt;&gt;0, Baukon_neu[[#This Row],[Länge '[m/m²']]]*Baukon_neu[[#This Row],[Längengewicht '[kg/m']]],
       IF( Baukon_neu[[#This Row],[Volumen '[m³/m²'] Referenz]]*Baukon_neu[[#This Row],[Rohdichte '[kg/m³']]]&lt;&gt;0,
        Baukon_neu[[#This Row],[Volumen '[m³/m²'] Referenz]]*Baukon_neu[[#This Row],[Rohdichte '[kg/m³']]],
                Baukon_neu[[#This Row],[Flächenanteil '[%']]]*Baukon_neu[[#This Row],[Flächengewicht '[kg/m²']]])),"")</f>
        <v>0</v>
      </c>
      <c r="AC48" s="69">
        <f>IFERROR(
    IF(Baukon_neu[[#This Row],[Länge '[m/m²']]]*Baukon_neu[[#This Row],[Längengewicht '[kg/m']]]&lt;&gt;0, Baukon_neu[[#This Row],[Länge '[m/m²']]]*Baukon_neu[[#This Row],[Längengewicht '[kg/m']]],
       IF( Baukon_neu[[#This Row],[Volumen '[m³/m²'] min]]*Baukon_neu[[#This Row],[Rohdichte '[kg/m³']]]&lt;&gt;0,
        Baukon_neu[[#This Row],[Volumen '[m³/m²'] min]]*Baukon_neu[[#This Row],[Rohdichte '[kg/m³']]],
                Baukon_neu[[#This Row],[Flächenanteil '[%']]]*Baukon_neu[[#This Row],[Flächengewicht '[kg/m²']]])),"")</f>
        <v>0</v>
      </c>
      <c r="AD48" s="69">
        <f>IFERROR(
    IF(Baukon_neu[[#This Row],[Länge '[m/m²']]]*Baukon_neu[[#This Row],[Längengewicht '[kg/m']]]&lt;&gt;0, Baukon_neu[[#This Row],[Länge '[m/m²']]]*Baukon_neu[[#This Row],[Längengewicht '[kg/m']]],
       IF( Baukon_neu[[#This Row],[Volumen '[m³/m²'] max]]*Baukon_neu[[#This Row],[Rohdichte '[kg/m³']]]&lt;&gt;0,
        Baukon_neu[[#This Row],[Volumen '[m³/m²'] max]]*Baukon_neu[[#This Row],[Rohdichte '[kg/m³']]],
                Baukon_neu[[#This Row],[Flächenanteil '[%']]]*Baukon_neu[[#This Row],[Flächengewicht '[kg/m²']]])),"")</f>
        <v>0</v>
      </c>
      <c r="AE48" s="107" t="str">
        <f>IFERROR(Baukon_neu[[#This Row],[Dicke '[mm'] Referenz]]/Baukon_neu[[#This Row],[lambda_'[W/mK']]],"")</f>
        <v/>
      </c>
      <c r="AF48" s="70">
        <f>_xlfn.XLOOKUP(Baukon_neu[[#This Row],[LCA Datensatz]],LeitRess_Materialien[Material_UUID],LeitRess_Materialien[RMI '[kg Primärrohstoffe / kg']])*Baukon_neu[[#This Row],[Masse '[kg/m²'] Referenz]]</f>
        <v>0</v>
      </c>
      <c r="AG48" s="70">
        <f>_xlfn.XLOOKUP(Baukon_neu[[#This Row],[LCA Datensatz]],LeitRess_Materialien[Material_UUID],LeitRess_Materialien[RMI '[kg Primärrohstoffe / kg']])*Baukon_neu[[#This Row],[Masse '[kg/m²'] min]]</f>
        <v>0</v>
      </c>
      <c r="AH48" s="70">
        <f>_xlfn.XLOOKUP(Baukon_neu[[#This Row],[LCA Datensatz]],LeitRess_Materialien[Material_UUID],LeitRess_Materialien[RMI '[kg Primärrohstoffe / kg']])*Baukon_neu[[#This Row],[Masse '[kg/m²'] max]]</f>
        <v>0</v>
      </c>
      <c r="AI48" s="70">
        <f>_xlfn.XLOOKUP(Baukon_neu[[#This Row],[LCA Datensatz]],LeitRess_Materialien[Material_UUID],LeitRess_Materialien[TMR '[kg Gesamtmaterialaufwand/kg']])*Baukon_neu[[#This Row],[Masse '[kg/m²'] Referenz]]</f>
        <v>0</v>
      </c>
      <c r="AJ48" s="70">
        <f>_xlfn.XLOOKUP(Baukon_neu[[#This Row],[LCA Datensatz]],LeitRess_Materialien[Material_UUID],LeitRess_Materialien[TMR '[kg Gesamtmaterialaufwand/kg']])*Baukon_neu[[#This Row],[Masse '[kg/m²'] min]]</f>
        <v>0</v>
      </c>
      <c r="AK48" s="70">
        <f>_xlfn.XLOOKUP(Baukon_neu[[#This Row],[LCA Datensatz]],LeitRess_Materialien[Material_UUID],LeitRess_Materialien[TMR '[kg Gesamtmaterialaufwand/kg']])*Baukon_neu[[#This Row],[Masse '[kg/m²'] max]]</f>
        <v>0</v>
      </c>
      <c r="AL48" s="70">
        <f>_xlfn.XLOOKUP(Baukon_neu[[#This Row],[LCA Datensatz]],LeitRess_Materialien[Material_UUID],LeitRess_Materialien[GWP '[kg CO2-Äqu./kg']])*Baukon_neu[[#This Row],[Masse '[kg/m²'] Referenz]]</f>
        <v>0</v>
      </c>
      <c r="AM48" s="70">
        <f>_xlfn.XLOOKUP(Baukon_neu[[#This Row],[LCA Datensatz]],LeitRess_Materialien[Material_UUID],LeitRess_Materialien[GWP '[kg CO2-Äqu./kg']])*Baukon_neu[[#This Row],[Masse '[kg/m²'] min]]</f>
        <v>0</v>
      </c>
      <c r="AN48" s="70">
        <f>_xlfn.XLOOKUP(Baukon_neu[[#This Row],[LCA Datensatz]],LeitRess_Materialien[Material_UUID],LeitRess_Materialien[GWP '[kg CO2-Äqu./kg']])*Baukon_neu[[#This Row],[Masse '[kg/m²'] max]]</f>
        <v>0</v>
      </c>
      <c r="AO48" s="70">
        <f>_xlfn.XLOOKUP(Baukon_neu[[#This Row],[LCA Datensatz]],LeitRess_Materialien[Material_UUID],LeitRess_Materialien[PENRT '[MJ/kg']])*Baukon_neu[[#This Row],[Masse '[kg/m²'] Referenz]]</f>
        <v>0</v>
      </c>
      <c r="AP48" s="70">
        <f>_xlfn.XLOOKUP(Baukon_neu[[#This Row],[LCA Datensatz]],LeitRess_Materialien[Material_UUID],LeitRess_Materialien[PENRT '[MJ/kg']])*Baukon_neu[[#This Row],[Masse '[kg/m²'] min]]</f>
        <v>0</v>
      </c>
      <c r="AQ48" s="70">
        <f>_xlfn.XLOOKUP(Baukon_neu[[#This Row],[LCA Datensatz]],LeitRess_Materialien[Material_UUID],LeitRess_Materialien[PENRT '[MJ/kg']])*Baukon_neu[[#This Row],[Masse '[kg/m²'] max]]</f>
        <v>0</v>
      </c>
      <c r="AR48" s="70" t="e">
        <f>_xlfn.XLOOKUP(Baukon_neu[[#This Row],[LCA Datensatz]],LeitRess_Materialien[Material_UUID],#REF!)*Baukon_neu[[#This Row],[Masse '[kg/m²'] Referenz]]</f>
        <v>#REF!</v>
      </c>
      <c r="AS48" s="70" t="e">
        <f>_xlfn.XLOOKUP(Baukon_neu[[#This Row],[LCA Datensatz]],LeitRess_Materialien[Material_UUID],#REF!)*Baukon_neu[[#This Row],[Masse '[kg/m²'] min]]</f>
        <v>#REF!</v>
      </c>
      <c r="AT48" s="70" t="e">
        <f>_xlfn.XLOOKUP(Baukon_neu[[#This Row],[LCA Datensatz]],LeitRess_Materialien[Material_UUID],#REF!)*Baukon_neu[[#This Row],[Masse '[kg/m²'] max]]</f>
        <v>#REF!</v>
      </c>
      <c r="AU48" s="70">
        <f>_xlfn.XLOOKUP(Baukon_neu[[#This Row],[LCA Datensatz]],LeitRess_Materialien[Material_UUID],LeitRess_Materialien[WDP '[m³ weighted water/kg']])*Baukon_neu[[#This Row],[Masse '[kg/m²'] Referenz]]</f>
        <v>0</v>
      </c>
      <c r="AV48" s="70">
        <f>_xlfn.XLOOKUP(Baukon_neu[[#This Row],[LCA Datensatz]],LeitRess_Materialien[Material_UUID],LeitRess_Materialien[WDP '[m³ weighted water/kg']])*Baukon_neu[[#This Row],[Masse '[kg/m²'] min]]</f>
        <v>0</v>
      </c>
      <c r="AW48" s="70">
        <f>_xlfn.XLOOKUP(Baukon_neu[[#This Row],[LCA Datensatz]],LeitRess_Materialien[Material_UUID],LeitRess_Materialien[WDP '[m³ weighted water/kg']])*Baukon_neu[[#This Row],[Masse '[kg/m²'] max]]</f>
        <v>0</v>
      </c>
      <c r="AX48" s="108">
        <f>Baukon_neu[[#This Row],[GWP '[kg CO2-Äqu./m²'] Referenz]]/'Ausgabe Tabellen'!$C$21+Baukon_neu[[#This Row],[PENRT '[MJ/m²'] Referenz]]/'Ausgabe Tabellen'!$C$22+Baukon_neu[[#This Row],[RMI '[kg Primärrohstoffe/m²'] Referenz]]/'Ausgabe Tabellen'!$C$23+Baukon_neu[[#This Row],[WDP '[m² weighted water/m²'] Referenz]]/'Ausgabe Tabellen'!$C$24</f>
        <v>0</v>
      </c>
      <c r="AY48" s="108">
        <f>Baukon_neu[[#This Row],[GWP '[kg CO2-Äqu./m²'] min]]/'Ausgabe Tabellen'!$C$21+Baukon_neu[[#This Row],[PENRT '[MJ/m²'] min]]/'Ausgabe Tabellen'!$C$22+Baukon_neu[[#This Row],[RMI '[kg Primärrohstoffe/m²'] min]]/'Ausgabe Tabellen'!$C$23+Baukon_neu[[#This Row],[WDP '[m² weighted water/m²'] min]]/'Ausgabe Tabellen'!$C$24</f>
        <v>0</v>
      </c>
      <c r="AZ48" s="108">
        <f>Baukon_neu[[#This Row],[GWP '[kg CO2-Äqu./m²'] max]]/'Ausgabe Tabellen'!$C$21+Baukon_neu[[#This Row],[PENRT '[MJ/m²'] max]]/'Ausgabe Tabellen'!$C$22+Baukon_neu[[#This Row],[RMI '[kg Primärrohstoffe/m²'] max]]/'Ausgabe Tabellen'!$C$23+Baukon_neu[[#This Row],[WDP '[m² weighted water/m²'] max]]/'Ausgabe Tabellen'!$C$24</f>
        <v>0</v>
      </c>
    </row>
    <row r="49" spans="1:52" x14ac:dyDescent="0.65">
      <c r="A49" s="73" t="s">
        <v>244</v>
      </c>
      <c r="B49" s="74"/>
      <c r="C49" s="74"/>
      <c r="D49" s="74"/>
      <c r="E49" s="106" t="str">
        <f>Baukon_neu[[#This Row],[Variante Nummer]]&amp;". "&amp;Baukon_neu[[#This Row],[Name Baukonstruktion]]&amp;" | " &amp;Baukon_neu[[#This Row],[Variante Name]]</f>
        <v xml:space="preserve">.  | </v>
      </c>
      <c r="F49" s="128" t="str">
        <f>IF(IFERROR(_xlfn.XLOOKUP(Baukon_neu[[#This Row],[ID Baukonstruktion]],Baukon_alle_A1_A3_results[ID Baukonstruktion],Baukon_alle_A1_A3_results[ID Baukonstruktion]),"okay")="okay", "okay","Achtung, id wird bereits verwendet")</f>
        <v>okay</v>
      </c>
      <c r="G49" s="75"/>
      <c r="H49" s="73" t="s">
        <v>244</v>
      </c>
      <c r="I49" s="73" t="s">
        <v>244</v>
      </c>
      <c r="J49" s="74"/>
      <c r="K49" s="68">
        <f>IF(Baukon_neu[[#This Row],[ist Dämmstoff?]]="ja",Baukon_neu[[#This Row],[Dicke '[mm'] Referenz]]+_xlfn.XLOOKUP(RIGHT(Baukon_neu[[#Headers],[Dicke '[mm'] min]],3),Dämmstoffvarianten[Variante],Dämmstoffvarianten[Differenz Dämmstoffedicke zu Referenz '[mm']]),Baukon_neu[[#This Row],[Dicke '[mm'] Referenz]])</f>
        <v>0</v>
      </c>
      <c r="L49" s="68">
        <f>IF(Baukon_neu[[#This Row],[ist Dämmstoff?]]="ja",Baukon_neu[[#This Row],[Dicke '[mm'] Referenz]]+_xlfn.XLOOKUP(RIGHT(Baukon_neu[[#Headers],[Dicke '[mm'] max]],3),Dämmstoffvarianten[Variante],Dämmstoffvarianten[Differenz Dämmstoffedicke zu Referenz '[mm']]),Baukon_neu[[#This Row],[Dicke '[mm'] Referenz]])</f>
        <v>0</v>
      </c>
      <c r="M49" s="109">
        <v>1</v>
      </c>
      <c r="N49" s="75"/>
      <c r="O49" s="69">
        <f>IFERROR(Baukon_neu[[#This Row],[Dicke '[mm'] Referenz]]/1000*Baukon_neu[[#This Row],[Flächenanteil '[%']]],"")</f>
        <v>0</v>
      </c>
      <c r="P49" s="69">
        <f>IFERROR(Baukon_neu[[#This Row],[Dicke '[mm'] min]]/1000*Baukon_neu[[#This Row],[Flächenanteil '[%']]],"")</f>
        <v>0</v>
      </c>
      <c r="Q49" s="69">
        <f>IFERROR(Baukon_neu[[#This Row],[Dicke '[mm'] max]]/1000*Baukon_neu[[#This Row],[Flächenanteil '[%']]],"")</f>
        <v>0</v>
      </c>
      <c r="R49" s="77" t="s">
        <v>226</v>
      </c>
      <c r="S49" s="69" t="str">
        <f>IFERROR(_xlfn.XLOOKUP(Baukon_neu[[#This Row],[Produkt]],LeitRess_Materialien[Name],LeitRess_Materialien[Material_UUID]),"")</f>
        <v>0</v>
      </c>
      <c r="T49" s="69">
        <f>IF(OR(Baukon_neu[[#This Row],[Rohdichte '[kg/m³'], Eingabe ]]="", Baukon_neu[[#This Row],[Rohdichte '[kg/m³'], Eingabe ]]="0"),_xlfn.XLOOKUP(Baukon_neu[[#This Row],[LCA Datensatz]],LeitRess_Materialien[Material_UUID],LeitRess_Materialien[Rohdichte_'[kg/m3']]),Baukon_neu[[#This Row],[Rohdichte '[kg/m³'], Eingabe ]])</f>
        <v>0</v>
      </c>
      <c r="U49" s="69">
        <f>IF(OR(Baukon_neu[[#This Row],[Flächengewicht '[kg/m²'], Eingabe ]]="", Baukon_neu[[#This Row],[Flächengewicht '[kg/m²'], Eingabe ]]="0"),_xlfn.XLOOKUP(Baukon_neu[[#This Row],[LCA Datensatz]],LeitRess_Materialien[Material_UUID],LeitRess_Materialien[Flächengewicht_'[kg/m2']]),Baukon_neu[[#This Row],[Flächengewicht '[kg/m²'], Eingabe ]])</f>
        <v>0</v>
      </c>
      <c r="V49" s="69">
        <f>IF(OR(Baukon_neu[[#This Row],[Längengewicht '[kg/m'], Eingabe ]]="", Baukon_neu[[#This Row],[Längengewicht '[kg/m'], Eingabe ]]="0"),_xlfn.XLOOKUP(Baukon_neu[[#This Row],[LCA Datensatz]],LeitRess_Materialien[Material_UUID],LeitRess_Materialien[Längengewicht_'[kg/m']]),Baukon_neu[[#This Row],[Längengewicht '[kg/m'], Eingabe ]])</f>
        <v>0</v>
      </c>
      <c r="W49" s="69">
        <f>IF(OR(Baukon_neu[[#This Row],[lambda_'[W/mK'], Eingabe ]]="", Baukon_neu[[#This Row],[lambda_'[W/mK'], Eingabe ]]="0"),_xlfn.XLOOKUP(Baukon_neu[[#This Row],[LCA Datensatz]],LeitRess_Materialien[Material_UUID],LeitRess_Materialien[lambda_'[W/mK']]),Baukon_neu[[#This Row],[lambda_'[W/mK'], Eingabe ]])</f>
        <v>0</v>
      </c>
      <c r="X49" s="77"/>
      <c r="Y49" s="77"/>
      <c r="Z49" s="77"/>
      <c r="AA49" s="77"/>
      <c r="AB49" s="69">
        <f>IFERROR(
    IF(Baukon_neu[[#This Row],[Länge '[m/m²']]]*Baukon_neu[[#This Row],[Längengewicht '[kg/m']]]&lt;&gt;0, Baukon_neu[[#This Row],[Länge '[m/m²']]]*Baukon_neu[[#This Row],[Längengewicht '[kg/m']]],
       IF( Baukon_neu[[#This Row],[Volumen '[m³/m²'] Referenz]]*Baukon_neu[[#This Row],[Rohdichte '[kg/m³']]]&lt;&gt;0,
        Baukon_neu[[#This Row],[Volumen '[m³/m²'] Referenz]]*Baukon_neu[[#This Row],[Rohdichte '[kg/m³']]],
                Baukon_neu[[#This Row],[Flächenanteil '[%']]]*Baukon_neu[[#This Row],[Flächengewicht '[kg/m²']]])),"")</f>
        <v>0</v>
      </c>
      <c r="AC49" s="69">
        <f>IFERROR(
    IF(Baukon_neu[[#This Row],[Länge '[m/m²']]]*Baukon_neu[[#This Row],[Längengewicht '[kg/m']]]&lt;&gt;0, Baukon_neu[[#This Row],[Länge '[m/m²']]]*Baukon_neu[[#This Row],[Längengewicht '[kg/m']]],
       IF( Baukon_neu[[#This Row],[Volumen '[m³/m²'] min]]*Baukon_neu[[#This Row],[Rohdichte '[kg/m³']]]&lt;&gt;0,
        Baukon_neu[[#This Row],[Volumen '[m³/m²'] min]]*Baukon_neu[[#This Row],[Rohdichte '[kg/m³']]],
                Baukon_neu[[#This Row],[Flächenanteil '[%']]]*Baukon_neu[[#This Row],[Flächengewicht '[kg/m²']]])),"")</f>
        <v>0</v>
      </c>
      <c r="AD49" s="69">
        <f>IFERROR(
    IF(Baukon_neu[[#This Row],[Länge '[m/m²']]]*Baukon_neu[[#This Row],[Längengewicht '[kg/m']]]&lt;&gt;0, Baukon_neu[[#This Row],[Länge '[m/m²']]]*Baukon_neu[[#This Row],[Längengewicht '[kg/m']]],
       IF( Baukon_neu[[#This Row],[Volumen '[m³/m²'] max]]*Baukon_neu[[#This Row],[Rohdichte '[kg/m³']]]&lt;&gt;0,
        Baukon_neu[[#This Row],[Volumen '[m³/m²'] max]]*Baukon_neu[[#This Row],[Rohdichte '[kg/m³']]],
                Baukon_neu[[#This Row],[Flächenanteil '[%']]]*Baukon_neu[[#This Row],[Flächengewicht '[kg/m²']]])),"")</f>
        <v>0</v>
      </c>
      <c r="AE49" s="107" t="str">
        <f>IFERROR(Baukon_neu[[#This Row],[Dicke '[mm'] Referenz]]/Baukon_neu[[#This Row],[lambda_'[W/mK']]],"")</f>
        <v/>
      </c>
      <c r="AF49" s="70">
        <f>_xlfn.XLOOKUP(Baukon_neu[[#This Row],[LCA Datensatz]],LeitRess_Materialien[Material_UUID],LeitRess_Materialien[RMI '[kg Primärrohstoffe / kg']])*Baukon_neu[[#This Row],[Masse '[kg/m²'] Referenz]]</f>
        <v>0</v>
      </c>
      <c r="AG49" s="70">
        <f>_xlfn.XLOOKUP(Baukon_neu[[#This Row],[LCA Datensatz]],LeitRess_Materialien[Material_UUID],LeitRess_Materialien[RMI '[kg Primärrohstoffe / kg']])*Baukon_neu[[#This Row],[Masse '[kg/m²'] min]]</f>
        <v>0</v>
      </c>
      <c r="AH49" s="70">
        <f>_xlfn.XLOOKUP(Baukon_neu[[#This Row],[LCA Datensatz]],LeitRess_Materialien[Material_UUID],LeitRess_Materialien[RMI '[kg Primärrohstoffe / kg']])*Baukon_neu[[#This Row],[Masse '[kg/m²'] max]]</f>
        <v>0</v>
      </c>
      <c r="AI49" s="70">
        <f>_xlfn.XLOOKUP(Baukon_neu[[#This Row],[LCA Datensatz]],LeitRess_Materialien[Material_UUID],LeitRess_Materialien[TMR '[kg Gesamtmaterialaufwand/kg']])*Baukon_neu[[#This Row],[Masse '[kg/m²'] Referenz]]</f>
        <v>0</v>
      </c>
      <c r="AJ49" s="70">
        <f>_xlfn.XLOOKUP(Baukon_neu[[#This Row],[LCA Datensatz]],LeitRess_Materialien[Material_UUID],LeitRess_Materialien[TMR '[kg Gesamtmaterialaufwand/kg']])*Baukon_neu[[#This Row],[Masse '[kg/m²'] min]]</f>
        <v>0</v>
      </c>
      <c r="AK49" s="70">
        <f>_xlfn.XLOOKUP(Baukon_neu[[#This Row],[LCA Datensatz]],LeitRess_Materialien[Material_UUID],LeitRess_Materialien[TMR '[kg Gesamtmaterialaufwand/kg']])*Baukon_neu[[#This Row],[Masse '[kg/m²'] max]]</f>
        <v>0</v>
      </c>
      <c r="AL49" s="70">
        <f>_xlfn.XLOOKUP(Baukon_neu[[#This Row],[LCA Datensatz]],LeitRess_Materialien[Material_UUID],LeitRess_Materialien[GWP '[kg CO2-Äqu./kg']])*Baukon_neu[[#This Row],[Masse '[kg/m²'] Referenz]]</f>
        <v>0</v>
      </c>
      <c r="AM49" s="70">
        <f>_xlfn.XLOOKUP(Baukon_neu[[#This Row],[LCA Datensatz]],LeitRess_Materialien[Material_UUID],LeitRess_Materialien[GWP '[kg CO2-Äqu./kg']])*Baukon_neu[[#This Row],[Masse '[kg/m²'] min]]</f>
        <v>0</v>
      </c>
      <c r="AN49" s="70">
        <f>_xlfn.XLOOKUP(Baukon_neu[[#This Row],[LCA Datensatz]],LeitRess_Materialien[Material_UUID],LeitRess_Materialien[GWP '[kg CO2-Äqu./kg']])*Baukon_neu[[#This Row],[Masse '[kg/m²'] max]]</f>
        <v>0</v>
      </c>
      <c r="AO49" s="70">
        <f>_xlfn.XLOOKUP(Baukon_neu[[#This Row],[LCA Datensatz]],LeitRess_Materialien[Material_UUID],LeitRess_Materialien[PENRT '[MJ/kg']])*Baukon_neu[[#This Row],[Masse '[kg/m²'] Referenz]]</f>
        <v>0</v>
      </c>
      <c r="AP49" s="70">
        <f>_xlfn.XLOOKUP(Baukon_neu[[#This Row],[LCA Datensatz]],LeitRess_Materialien[Material_UUID],LeitRess_Materialien[PENRT '[MJ/kg']])*Baukon_neu[[#This Row],[Masse '[kg/m²'] min]]</f>
        <v>0</v>
      </c>
      <c r="AQ49" s="70">
        <f>_xlfn.XLOOKUP(Baukon_neu[[#This Row],[LCA Datensatz]],LeitRess_Materialien[Material_UUID],LeitRess_Materialien[PENRT '[MJ/kg']])*Baukon_neu[[#This Row],[Masse '[kg/m²'] max]]</f>
        <v>0</v>
      </c>
      <c r="AR49" s="70" t="e">
        <f>_xlfn.XLOOKUP(Baukon_neu[[#This Row],[LCA Datensatz]],LeitRess_Materialien[Material_UUID],#REF!)*Baukon_neu[[#This Row],[Masse '[kg/m²'] Referenz]]</f>
        <v>#REF!</v>
      </c>
      <c r="AS49" s="70" t="e">
        <f>_xlfn.XLOOKUP(Baukon_neu[[#This Row],[LCA Datensatz]],LeitRess_Materialien[Material_UUID],#REF!)*Baukon_neu[[#This Row],[Masse '[kg/m²'] min]]</f>
        <v>#REF!</v>
      </c>
      <c r="AT49" s="70" t="e">
        <f>_xlfn.XLOOKUP(Baukon_neu[[#This Row],[LCA Datensatz]],LeitRess_Materialien[Material_UUID],#REF!)*Baukon_neu[[#This Row],[Masse '[kg/m²'] max]]</f>
        <v>#REF!</v>
      </c>
      <c r="AU49" s="70">
        <f>_xlfn.XLOOKUP(Baukon_neu[[#This Row],[LCA Datensatz]],LeitRess_Materialien[Material_UUID],LeitRess_Materialien[WDP '[m³ weighted water/kg']])*Baukon_neu[[#This Row],[Masse '[kg/m²'] Referenz]]</f>
        <v>0</v>
      </c>
      <c r="AV49" s="70">
        <f>_xlfn.XLOOKUP(Baukon_neu[[#This Row],[LCA Datensatz]],LeitRess_Materialien[Material_UUID],LeitRess_Materialien[WDP '[m³ weighted water/kg']])*Baukon_neu[[#This Row],[Masse '[kg/m²'] min]]</f>
        <v>0</v>
      </c>
      <c r="AW49" s="70">
        <f>_xlfn.XLOOKUP(Baukon_neu[[#This Row],[LCA Datensatz]],LeitRess_Materialien[Material_UUID],LeitRess_Materialien[WDP '[m³ weighted water/kg']])*Baukon_neu[[#This Row],[Masse '[kg/m²'] max]]</f>
        <v>0</v>
      </c>
      <c r="AX49" s="108">
        <f>Baukon_neu[[#This Row],[GWP '[kg CO2-Äqu./m²'] Referenz]]/'Ausgabe Tabellen'!$C$21+Baukon_neu[[#This Row],[PENRT '[MJ/m²'] Referenz]]/'Ausgabe Tabellen'!$C$22+Baukon_neu[[#This Row],[RMI '[kg Primärrohstoffe/m²'] Referenz]]/'Ausgabe Tabellen'!$C$23+Baukon_neu[[#This Row],[WDP '[m² weighted water/m²'] Referenz]]/'Ausgabe Tabellen'!$C$24</f>
        <v>0</v>
      </c>
      <c r="AY49" s="108">
        <f>Baukon_neu[[#This Row],[GWP '[kg CO2-Äqu./m²'] min]]/'Ausgabe Tabellen'!$C$21+Baukon_neu[[#This Row],[PENRT '[MJ/m²'] min]]/'Ausgabe Tabellen'!$C$22+Baukon_neu[[#This Row],[RMI '[kg Primärrohstoffe/m²'] min]]/'Ausgabe Tabellen'!$C$23+Baukon_neu[[#This Row],[WDP '[m² weighted water/m²'] min]]/'Ausgabe Tabellen'!$C$24</f>
        <v>0</v>
      </c>
      <c r="AZ49" s="108">
        <f>Baukon_neu[[#This Row],[GWP '[kg CO2-Äqu./m²'] max]]/'Ausgabe Tabellen'!$C$21+Baukon_neu[[#This Row],[PENRT '[MJ/m²'] max]]/'Ausgabe Tabellen'!$C$22+Baukon_neu[[#This Row],[RMI '[kg Primärrohstoffe/m²'] max]]/'Ausgabe Tabellen'!$C$23+Baukon_neu[[#This Row],[WDP '[m² weighted water/m²'] max]]/'Ausgabe Tabellen'!$C$24</f>
        <v>0</v>
      </c>
    </row>
    <row r="50" spans="1:52" x14ac:dyDescent="0.65">
      <c r="A50" s="73" t="s">
        <v>244</v>
      </c>
      <c r="B50" s="74"/>
      <c r="C50" s="74"/>
      <c r="D50" s="74"/>
      <c r="E50" s="106" t="str">
        <f>Baukon_neu[[#This Row],[Variante Nummer]]&amp;". "&amp;Baukon_neu[[#This Row],[Name Baukonstruktion]]&amp;" | " &amp;Baukon_neu[[#This Row],[Variante Name]]</f>
        <v xml:space="preserve">.  | </v>
      </c>
      <c r="F50" s="128" t="str">
        <f>IF(IFERROR(_xlfn.XLOOKUP(Baukon_neu[[#This Row],[ID Baukonstruktion]],Baukon_alle_A1_A3_results[ID Baukonstruktion],Baukon_alle_A1_A3_results[ID Baukonstruktion]),"okay")="okay", "okay","Achtung, id wird bereits verwendet")</f>
        <v>okay</v>
      </c>
      <c r="G50" s="75"/>
      <c r="H50" s="73" t="s">
        <v>244</v>
      </c>
      <c r="I50" s="73" t="s">
        <v>244</v>
      </c>
      <c r="J50" s="74"/>
      <c r="K50" s="68">
        <f>IF(Baukon_neu[[#This Row],[ist Dämmstoff?]]="ja",Baukon_neu[[#This Row],[Dicke '[mm'] Referenz]]+_xlfn.XLOOKUP(RIGHT(Baukon_neu[[#Headers],[Dicke '[mm'] min]],3),Dämmstoffvarianten[Variante],Dämmstoffvarianten[Differenz Dämmstoffedicke zu Referenz '[mm']]),Baukon_neu[[#This Row],[Dicke '[mm'] Referenz]])</f>
        <v>0</v>
      </c>
      <c r="L50" s="68">
        <f>IF(Baukon_neu[[#This Row],[ist Dämmstoff?]]="ja",Baukon_neu[[#This Row],[Dicke '[mm'] Referenz]]+_xlfn.XLOOKUP(RIGHT(Baukon_neu[[#Headers],[Dicke '[mm'] max]],3),Dämmstoffvarianten[Variante],Dämmstoffvarianten[Differenz Dämmstoffedicke zu Referenz '[mm']]),Baukon_neu[[#This Row],[Dicke '[mm'] Referenz]])</f>
        <v>0</v>
      </c>
      <c r="M50" s="109">
        <v>1</v>
      </c>
      <c r="N50" s="75"/>
      <c r="O50" s="69">
        <f>IFERROR(Baukon_neu[[#This Row],[Dicke '[mm'] Referenz]]/1000*Baukon_neu[[#This Row],[Flächenanteil '[%']]],"")</f>
        <v>0</v>
      </c>
      <c r="P50" s="69">
        <f>IFERROR(Baukon_neu[[#This Row],[Dicke '[mm'] min]]/1000*Baukon_neu[[#This Row],[Flächenanteil '[%']]],"")</f>
        <v>0</v>
      </c>
      <c r="Q50" s="69">
        <f>IFERROR(Baukon_neu[[#This Row],[Dicke '[mm'] max]]/1000*Baukon_neu[[#This Row],[Flächenanteil '[%']]],"")</f>
        <v>0</v>
      </c>
      <c r="R50" s="77" t="s">
        <v>226</v>
      </c>
      <c r="S50" s="69" t="str">
        <f>IFERROR(_xlfn.XLOOKUP(Baukon_neu[[#This Row],[Produkt]],LeitRess_Materialien[Name],LeitRess_Materialien[Material_UUID]),"")</f>
        <v>0</v>
      </c>
      <c r="T50" s="69">
        <f>IF(OR(Baukon_neu[[#This Row],[Rohdichte '[kg/m³'], Eingabe ]]="", Baukon_neu[[#This Row],[Rohdichte '[kg/m³'], Eingabe ]]="0"),_xlfn.XLOOKUP(Baukon_neu[[#This Row],[LCA Datensatz]],LeitRess_Materialien[Material_UUID],LeitRess_Materialien[Rohdichte_'[kg/m3']]),Baukon_neu[[#This Row],[Rohdichte '[kg/m³'], Eingabe ]])</f>
        <v>0</v>
      </c>
      <c r="U50" s="69">
        <f>IF(OR(Baukon_neu[[#This Row],[Flächengewicht '[kg/m²'], Eingabe ]]="", Baukon_neu[[#This Row],[Flächengewicht '[kg/m²'], Eingabe ]]="0"),_xlfn.XLOOKUP(Baukon_neu[[#This Row],[LCA Datensatz]],LeitRess_Materialien[Material_UUID],LeitRess_Materialien[Flächengewicht_'[kg/m2']]),Baukon_neu[[#This Row],[Flächengewicht '[kg/m²'], Eingabe ]])</f>
        <v>0</v>
      </c>
      <c r="V50" s="69">
        <f>IF(OR(Baukon_neu[[#This Row],[Längengewicht '[kg/m'], Eingabe ]]="", Baukon_neu[[#This Row],[Längengewicht '[kg/m'], Eingabe ]]="0"),_xlfn.XLOOKUP(Baukon_neu[[#This Row],[LCA Datensatz]],LeitRess_Materialien[Material_UUID],LeitRess_Materialien[Längengewicht_'[kg/m']]),Baukon_neu[[#This Row],[Längengewicht '[kg/m'], Eingabe ]])</f>
        <v>0</v>
      </c>
      <c r="W50" s="69">
        <f>IF(OR(Baukon_neu[[#This Row],[lambda_'[W/mK'], Eingabe ]]="", Baukon_neu[[#This Row],[lambda_'[W/mK'], Eingabe ]]="0"),_xlfn.XLOOKUP(Baukon_neu[[#This Row],[LCA Datensatz]],LeitRess_Materialien[Material_UUID],LeitRess_Materialien[lambda_'[W/mK']]),Baukon_neu[[#This Row],[lambda_'[W/mK'], Eingabe ]])</f>
        <v>0</v>
      </c>
      <c r="X50" s="77"/>
      <c r="Y50" s="77"/>
      <c r="Z50" s="77"/>
      <c r="AA50" s="77"/>
      <c r="AB50" s="69">
        <f>IFERROR(
    IF(Baukon_neu[[#This Row],[Länge '[m/m²']]]*Baukon_neu[[#This Row],[Längengewicht '[kg/m']]]&lt;&gt;0, Baukon_neu[[#This Row],[Länge '[m/m²']]]*Baukon_neu[[#This Row],[Längengewicht '[kg/m']]],
       IF( Baukon_neu[[#This Row],[Volumen '[m³/m²'] Referenz]]*Baukon_neu[[#This Row],[Rohdichte '[kg/m³']]]&lt;&gt;0,
        Baukon_neu[[#This Row],[Volumen '[m³/m²'] Referenz]]*Baukon_neu[[#This Row],[Rohdichte '[kg/m³']]],
                Baukon_neu[[#This Row],[Flächenanteil '[%']]]*Baukon_neu[[#This Row],[Flächengewicht '[kg/m²']]])),"")</f>
        <v>0</v>
      </c>
      <c r="AC50" s="69">
        <f>IFERROR(
    IF(Baukon_neu[[#This Row],[Länge '[m/m²']]]*Baukon_neu[[#This Row],[Längengewicht '[kg/m']]]&lt;&gt;0, Baukon_neu[[#This Row],[Länge '[m/m²']]]*Baukon_neu[[#This Row],[Längengewicht '[kg/m']]],
       IF( Baukon_neu[[#This Row],[Volumen '[m³/m²'] min]]*Baukon_neu[[#This Row],[Rohdichte '[kg/m³']]]&lt;&gt;0,
        Baukon_neu[[#This Row],[Volumen '[m³/m²'] min]]*Baukon_neu[[#This Row],[Rohdichte '[kg/m³']]],
                Baukon_neu[[#This Row],[Flächenanteil '[%']]]*Baukon_neu[[#This Row],[Flächengewicht '[kg/m²']]])),"")</f>
        <v>0</v>
      </c>
      <c r="AD50" s="69">
        <f>IFERROR(
    IF(Baukon_neu[[#This Row],[Länge '[m/m²']]]*Baukon_neu[[#This Row],[Längengewicht '[kg/m']]]&lt;&gt;0, Baukon_neu[[#This Row],[Länge '[m/m²']]]*Baukon_neu[[#This Row],[Längengewicht '[kg/m']]],
       IF( Baukon_neu[[#This Row],[Volumen '[m³/m²'] max]]*Baukon_neu[[#This Row],[Rohdichte '[kg/m³']]]&lt;&gt;0,
        Baukon_neu[[#This Row],[Volumen '[m³/m²'] max]]*Baukon_neu[[#This Row],[Rohdichte '[kg/m³']]],
                Baukon_neu[[#This Row],[Flächenanteil '[%']]]*Baukon_neu[[#This Row],[Flächengewicht '[kg/m²']]])),"")</f>
        <v>0</v>
      </c>
      <c r="AE50" s="107" t="str">
        <f>IFERROR(Baukon_neu[[#This Row],[Dicke '[mm'] Referenz]]/Baukon_neu[[#This Row],[lambda_'[W/mK']]],"")</f>
        <v/>
      </c>
      <c r="AF50" s="70">
        <f>_xlfn.XLOOKUP(Baukon_neu[[#This Row],[LCA Datensatz]],LeitRess_Materialien[Material_UUID],LeitRess_Materialien[RMI '[kg Primärrohstoffe / kg']])*Baukon_neu[[#This Row],[Masse '[kg/m²'] Referenz]]</f>
        <v>0</v>
      </c>
      <c r="AG50" s="70">
        <f>_xlfn.XLOOKUP(Baukon_neu[[#This Row],[LCA Datensatz]],LeitRess_Materialien[Material_UUID],LeitRess_Materialien[RMI '[kg Primärrohstoffe / kg']])*Baukon_neu[[#This Row],[Masse '[kg/m²'] min]]</f>
        <v>0</v>
      </c>
      <c r="AH50" s="70">
        <f>_xlfn.XLOOKUP(Baukon_neu[[#This Row],[LCA Datensatz]],LeitRess_Materialien[Material_UUID],LeitRess_Materialien[RMI '[kg Primärrohstoffe / kg']])*Baukon_neu[[#This Row],[Masse '[kg/m²'] max]]</f>
        <v>0</v>
      </c>
      <c r="AI50" s="70">
        <f>_xlfn.XLOOKUP(Baukon_neu[[#This Row],[LCA Datensatz]],LeitRess_Materialien[Material_UUID],LeitRess_Materialien[TMR '[kg Gesamtmaterialaufwand/kg']])*Baukon_neu[[#This Row],[Masse '[kg/m²'] Referenz]]</f>
        <v>0</v>
      </c>
      <c r="AJ50" s="70">
        <f>_xlfn.XLOOKUP(Baukon_neu[[#This Row],[LCA Datensatz]],LeitRess_Materialien[Material_UUID],LeitRess_Materialien[TMR '[kg Gesamtmaterialaufwand/kg']])*Baukon_neu[[#This Row],[Masse '[kg/m²'] min]]</f>
        <v>0</v>
      </c>
      <c r="AK50" s="70">
        <f>_xlfn.XLOOKUP(Baukon_neu[[#This Row],[LCA Datensatz]],LeitRess_Materialien[Material_UUID],LeitRess_Materialien[TMR '[kg Gesamtmaterialaufwand/kg']])*Baukon_neu[[#This Row],[Masse '[kg/m²'] max]]</f>
        <v>0</v>
      </c>
      <c r="AL50" s="70">
        <f>_xlfn.XLOOKUP(Baukon_neu[[#This Row],[LCA Datensatz]],LeitRess_Materialien[Material_UUID],LeitRess_Materialien[GWP '[kg CO2-Äqu./kg']])*Baukon_neu[[#This Row],[Masse '[kg/m²'] Referenz]]</f>
        <v>0</v>
      </c>
      <c r="AM50" s="70">
        <f>_xlfn.XLOOKUP(Baukon_neu[[#This Row],[LCA Datensatz]],LeitRess_Materialien[Material_UUID],LeitRess_Materialien[GWP '[kg CO2-Äqu./kg']])*Baukon_neu[[#This Row],[Masse '[kg/m²'] min]]</f>
        <v>0</v>
      </c>
      <c r="AN50" s="70">
        <f>_xlfn.XLOOKUP(Baukon_neu[[#This Row],[LCA Datensatz]],LeitRess_Materialien[Material_UUID],LeitRess_Materialien[GWP '[kg CO2-Äqu./kg']])*Baukon_neu[[#This Row],[Masse '[kg/m²'] max]]</f>
        <v>0</v>
      </c>
      <c r="AO50" s="70">
        <f>_xlfn.XLOOKUP(Baukon_neu[[#This Row],[LCA Datensatz]],LeitRess_Materialien[Material_UUID],LeitRess_Materialien[PENRT '[MJ/kg']])*Baukon_neu[[#This Row],[Masse '[kg/m²'] Referenz]]</f>
        <v>0</v>
      </c>
      <c r="AP50" s="70">
        <f>_xlfn.XLOOKUP(Baukon_neu[[#This Row],[LCA Datensatz]],LeitRess_Materialien[Material_UUID],LeitRess_Materialien[PENRT '[MJ/kg']])*Baukon_neu[[#This Row],[Masse '[kg/m²'] min]]</f>
        <v>0</v>
      </c>
      <c r="AQ50" s="70">
        <f>_xlfn.XLOOKUP(Baukon_neu[[#This Row],[LCA Datensatz]],LeitRess_Materialien[Material_UUID],LeitRess_Materialien[PENRT '[MJ/kg']])*Baukon_neu[[#This Row],[Masse '[kg/m²'] max]]</f>
        <v>0</v>
      </c>
      <c r="AR50" s="70" t="e">
        <f>_xlfn.XLOOKUP(Baukon_neu[[#This Row],[LCA Datensatz]],LeitRess_Materialien[Material_UUID],#REF!)*Baukon_neu[[#This Row],[Masse '[kg/m²'] Referenz]]</f>
        <v>#REF!</v>
      </c>
      <c r="AS50" s="70" t="e">
        <f>_xlfn.XLOOKUP(Baukon_neu[[#This Row],[LCA Datensatz]],LeitRess_Materialien[Material_UUID],#REF!)*Baukon_neu[[#This Row],[Masse '[kg/m²'] min]]</f>
        <v>#REF!</v>
      </c>
      <c r="AT50" s="70" t="e">
        <f>_xlfn.XLOOKUP(Baukon_neu[[#This Row],[LCA Datensatz]],LeitRess_Materialien[Material_UUID],#REF!)*Baukon_neu[[#This Row],[Masse '[kg/m²'] max]]</f>
        <v>#REF!</v>
      </c>
      <c r="AU50" s="70">
        <f>_xlfn.XLOOKUP(Baukon_neu[[#This Row],[LCA Datensatz]],LeitRess_Materialien[Material_UUID],LeitRess_Materialien[WDP '[m³ weighted water/kg']])*Baukon_neu[[#This Row],[Masse '[kg/m²'] Referenz]]</f>
        <v>0</v>
      </c>
      <c r="AV50" s="70">
        <f>_xlfn.XLOOKUP(Baukon_neu[[#This Row],[LCA Datensatz]],LeitRess_Materialien[Material_UUID],LeitRess_Materialien[WDP '[m³ weighted water/kg']])*Baukon_neu[[#This Row],[Masse '[kg/m²'] min]]</f>
        <v>0</v>
      </c>
      <c r="AW50" s="70">
        <f>_xlfn.XLOOKUP(Baukon_neu[[#This Row],[LCA Datensatz]],LeitRess_Materialien[Material_UUID],LeitRess_Materialien[WDP '[m³ weighted water/kg']])*Baukon_neu[[#This Row],[Masse '[kg/m²'] max]]</f>
        <v>0</v>
      </c>
      <c r="AX50" s="108">
        <f>Baukon_neu[[#This Row],[GWP '[kg CO2-Äqu./m²'] Referenz]]/'Ausgabe Tabellen'!$C$21+Baukon_neu[[#This Row],[PENRT '[MJ/m²'] Referenz]]/'Ausgabe Tabellen'!$C$22+Baukon_neu[[#This Row],[RMI '[kg Primärrohstoffe/m²'] Referenz]]/'Ausgabe Tabellen'!$C$23+Baukon_neu[[#This Row],[WDP '[m² weighted water/m²'] Referenz]]/'Ausgabe Tabellen'!$C$24</f>
        <v>0</v>
      </c>
      <c r="AY50" s="108">
        <f>Baukon_neu[[#This Row],[GWP '[kg CO2-Äqu./m²'] min]]/'Ausgabe Tabellen'!$C$21+Baukon_neu[[#This Row],[PENRT '[MJ/m²'] min]]/'Ausgabe Tabellen'!$C$22+Baukon_neu[[#This Row],[RMI '[kg Primärrohstoffe/m²'] min]]/'Ausgabe Tabellen'!$C$23+Baukon_neu[[#This Row],[WDP '[m² weighted water/m²'] min]]/'Ausgabe Tabellen'!$C$24</f>
        <v>0</v>
      </c>
      <c r="AZ50" s="108">
        <f>Baukon_neu[[#This Row],[GWP '[kg CO2-Äqu./m²'] max]]/'Ausgabe Tabellen'!$C$21+Baukon_neu[[#This Row],[PENRT '[MJ/m²'] max]]/'Ausgabe Tabellen'!$C$22+Baukon_neu[[#This Row],[RMI '[kg Primärrohstoffe/m²'] max]]/'Ausgabe Tabellen'!$C$23+Baukon_neu[[#This Row],[WDP '[m² weighted water/m²'] max]]/'Ausgabe Tabellen'!$C$24</f>
        <v>0</v>
      </c>
    </row>
    <row r="51" spans="1:52" x14ac:dyDescent="0.65">
      <c r="A51" s="73" t="s">
        <v>244</v>
      </c>
      <c r="B51" s="74"/>
      <c r="C51" s="74"/>
      <c r="D51" s="74"/>
      <c r="E51" s="106" t="str">
        <f>Baukon_neu[[#This Row],[Variante Nummer]]&amp;". "&amp;Baukon_neu[[#This Row],[Name Baukonstruktion]]&amp;" | " &amp;Baukon_neu[[#This Row],[Variante Name]]</f>
        <v xml:space="preserve">.  | </v>
      </c>
      <c r="F51" s="128" t="str">
        <f>IF(IFERROR(_xlfn.XLOOKUP(Baukon_neu[[#This Row],[ID Baukonstruktion]],Baukon_alle_A1_A3_results[ID Baukonstruktion],Baukon_alle_A1_A3_results[ID Baukonstruktion]),"okay")="okay", "okay","Achtung, id wird bereits verwendet")</f>
        <v>okay</v>
      </c>
      <c r="G51" s="75"/>
      <c r="H51" s="73" t="s">
        <v>244</v>
      </c>
      <c r="I51" s="73" t="s">
        <v>244</v>
      </c>
      <c r="J51" s="74"/>
      <c r="K51" s="68">
        <f>IF(Baukon_neu[[#This Row],[ist Dämmstoff?]]="ja",Baukon_neu[[#This Row],[Dicke '[mm'] Referenz]]+_xlfn.XLOOKUP(RIGHT(Baukon_neu[[#Headers],[Dicke '[mm'] min]],3),Dämmstoffvarianten[Variante],Dämmstoffvarianten[Differenz Dämmstoffedicke zu Referenz '[mm']]),Baukon_neu[[#This Row],[Dicke '[mm'] Referenz]])</f>
        <v>0</v>
      </c>
      <c r="L51" s="68">
        <f>IF(Baukon_neu[[#This Row],[ist Dämmstoff?]]="ja",Baukon_neu[[#This Row],[Dicke '[mm'] Referenz]]+_xlfn.XLOOKUP(RIGHT(Baukon_neu[[#Headers],[Dicke '[mm'] max]],3),Dämmstoffvarianten[Variante],Dämmstoffvarianten[Differenz Dämmstoffedicke zu Referenz '[mm']]),Baukon_neu[[#This Row],[Dicke '[mm'] Referenz]])</f>
        <v>0</v>
      </c>
      <c r="M51" s="109">
        <v>1</v>
      </c>
      <c r="N51" s="75"/>
      <c r="O51" s="69">
        <f>IFERROR(Baukon_neu[[#This Row],[Dicke '[mm'] Referenz]]/1000*Baukon_neu[[#This Row],[Flächenanteil '[%']]],"")</f>
        <v>0</v>
      </c>
      <c r="P51" s="69">
        <f>IFERROR(Baukon_neu[[#This Row],[Dicke '[mm'] min]]/1000*Baukon_neu[[#This Row],[Flächenanteil '[%']]],"")</f>
        <v>0</v>
      </c>
      <c r="Q51" s="69">
        <f>IFERROR(Baukon_neu[[#This Row],[Dicke '[mm'] max]]/1000*Baukon_neu[[#This Row],[Flächenanteil '[%']]],"")</f>
        <v>0</v>
      </c>
      <c r="R51" s="77" t="s">
        <v>226</v>
      </c>
      <c r="S51" s="69" t="str">
        <f>IFERROR(_xlfn.XLOOKUP(Baukon_neu[[#This Row],[Produkt]],LeitRess_Materialien[Name],LeitRess_Materialien[Material_UUID]),"")</f>
        <v>0</v>
      </c>
      <c r="T51" s="69">
        <f>IF(OR(Baukon_neu[[#This Row],[Rohdichte '[kg/m³'], Eingabe ]]="", Baukon_neu[[#This Row],[Rohdichte '[kg/m³'], Eingabe ]]="0"),_xlfn.XLOOKUP(Baukon_neu[[#This Row],[LCA Datensatz]],LeitRess_Materialien[Material_UUID],LeitRess_Materialien[Rohdichte_'[kg/m3']]),Baukon_neu[[#This Row],[Rohdichte '[kg/m³'], Eingabe ]])</f>
        <v>0</v>
      </c>
      <c r="U51" s="69">
        <f>IF(OR(Baukon_neu[[#This Row],[Flächengewicht '[kg/m²'], Eingabe ]]="", Baukon_neu[[#This Row],[Flächengewicht '[kg/m²'], Eingabe ]]="0"),_xlfn.XLOOKUP(Baukon_neu[[#This Row],[LCA Datensatz]],LeitRess_Materialien[Material_UUID],LeitRess_Materialien[Flächengewicht_'[kg/m2']]),Baukon_neu[[#This Row],[Flächengewicht '[kg/m²'], Eingabe ]])</f>
        <v>0</v>
      </c>
      <c r="V51" s="69">
        <f>IF(OR(Baukon_neu[[#This Row],[Längengewicht '[kg/m'], Eingabe ]]="", Baukon_neu[[#This Row],[Längengewicht '[kg/m'], Eingabe ]]="0"),_xlfn.XLOOKUP(Baukon_neu[[#This Row],[LCA Datensatz]],LeitRess_Materialien[Material_UUID],LeitRess_Materialien[Längengewicht_'[kg/m']]),Baukon_neu[[#This Row],[Längengewicht '[kg/m'], Eingabe ]])</f>
        <v>0</v>
      </c>
      <c r="W51" s="69">
        <f>IF(OR(Baukon_neu[[#This Row],[lambda_'[W/mK'], Eingabe ]]="", Baukon_neu[[#This Row],[lambda_'[W/mK'], Eingabe ]]="0"),_xlfn.XLOOKUP(Baukon_neu[[#This Row],[LCA Datensatz]],LeitRess_Materialien[Material_UUID],LeitRess_Materialien[lambda_'[W/mK']]),Baukon_neu[[#This Row],[lambda_'[W/mK'], Eingabe ]])</f>
        <v>0</v>
      </c>
      <c r="X51" s="77"/>
      <c r="Y51" s="77"/>
      <c r="Z51" s="77"/>
      <c r="AA51" s="77"/>
      <c r="AB51" s="69">
        <f>IFERROR(
    IF(Baukon_neu[[#This Row],[Länge '[m/m²']]]*Baukon_neu[[#This Row],[Längengewicht '[kg/m']]]&lt;&gt;0, Baukon_neu[[#This Row],[Länge '[m/m²']]]*Baukon_neu[[#This Row],[Längengewicht '[kg/m']]],
       IF( Baukon_neu[[#This Row],[Volumen '[m³/m²'] Referenz]]*Baukon_neu[[#This Row],[Rohdichte '[kg/m³']]]&lt;&gt;0,
        Baukon_neu[[#This Row],[Volumen '[m³/m²'] Referenz]]*Baukon_neu[[#This Row],[Rohdichte '[kg/m³']]],
                Baukon_neu[[#This Row],[Flächenanteil '[%']]]*Baukon_neu[[#This Row],[Flächengewicht '[kg/m²']]])),"")</f>
        <v>0</v>
      </c>
      <c r="AC51" s="69">
        <f>IFERROR(
    IF(Baukon_neu[[#This Row],[Länge '[m/m²']]]*Baukon_neu[[#This Row],[Längengewicht '[kg/m']]]&lt;&gt;0, Baukon_neu[[#This Row],[Länge '[m/m²']]]*Baukon_neu[[#This Row],[Längengewicht '[kg/m']]],
       IF( Baukon_neu[[#This Row],[Volumen '[m³/m²'] min]]*Baukon_neu[[#This Row],[Rohdichte '[kg/m³']]]&lt;&gt;0,
        Baukon_neu[[#This Row],[Volumen '[m³/m²'] min]]*Baukon_neu[[#This Row],[Rohdichte '[kg/m³']]],
                Baukon_neu[[#This Row],[Flächenanteil '[%']]]*Baukon_neu[[#This Row],[Flächengewicht '[kg/m²']]])),"")</f>
        <v>0</v>
      </c>
      <c r="AD51" s="69">
        <f>IFERROR(
    IF(Baukon_neu[[#This Row],[Länge '[m/m²']]]*Baukon_neu[[#This Row],[Längengewicht '[kg/m']]]&lt;&gt;0, Baukon_neu[[#This Row],[Länge '[m/m²']]]*Baukon_neu[[#This Row],[Längengewicht '[kg/m']]],
       IF( Baukon_neu[[#This Row],[Volumen '[m³/m²'] max]]*Baukon_neu[[#This Row],[Rohdichte '[kg/m³']]]&lt;&gt;0,
        Baukon_neu[[#This Row],[Volumen '[m³/m²'] max]]*Baukon_neu[[#This Row],[Rohdichte '[kg/m³']]],
                Baukon_neu[[#This Row],[Flächenanteil '[%']]]*Baukon_neu[[#This Row],[Flächengewicht '[kg/m²']]])),"")</f>
        <v>0</v>
      </c>
      <c r="AE51" s="107" t="str">
        <f>IFERROR(Baukon_neu[[#This Row],[Dicke '[mm'] Referenz]]/Baukon_neu[[#This Row],[lambda_'[W/mK']]],"")</f>
        <v/>
      </c>
      <c r="AF51" s="70">
        <f>_xlfn.XLOOKUP(Baukon_neu[[#This Row],[LCA Datensatz]],LeitRess_Materialien[Material_UUID],LeitRess_Materialien[RMI '[kg Primärrohstoffe / kg']])*Baukon_neu[[#This Row],[Masse '[kg/m²'] Referenz]]</f>
        <v>0</v>
      </c>
      <c r="AG51" s="70">
        <f>_xlfn.XLOOKUP(Baukon_neu[[#This Row],[LCA Datensatz]],LeitRess_Materialien[Material_UUID],LeitRess_Materialien[RMI '[kg Primärrohstoffe / kg']])*Baukon_neu[[#This Row],[Masse '[kg/m²'] min]]</f>
        <v>0</v>
      </c>
      <c r="AH51" s="70">
        <f>_xlfn.XLOOKUP(Baukon_neu[[#This Row],[LCA Datensatz]],LeitRess_Materialien[Material_UUID],LeitRess_Materialien[RMI '[kg Primärrohstoffe / kg']])*Baukon_neu[[#This Row],[Masse '[kg/m²'] max]]</f>
        <v>0</v>
      </c>
      <c r="AI51" s="70">
        <f>_xlfn.XLOOKUP(Baukon_neu[[#This Row],[LCA Datensatz]],LeitRess_Materialien[Material_UUID],LeitRess_Materialien[TMR '[kg Gesamtmaterialaufwand/kg']])*Baukon_neu[[#This Row],[Masse '[kg/m²'] Referenz]]</f>
        <v>0</v>
      </c>
      <c r="AJ51" s="70">
        <f>_xlfn.XLOOKUP(Baukon_neu[[#This Row],[LCA Datensatz]],LeitRess_Materialien[Material_UUID],LeitRess_Materialien[TMR '[kg Gesamtmaterialaufwand/kg']])*Baukon_neu[[#This Row],[Masse '[kg/m²'] min]]</f>
        <v>0</v>
      </c>
      <c r="AK51" s="70">
        <f>_xlfn.XLOOKUP(Baukon_neu[[#This Row],[LCA Datensatz]],LeitRess_Materialien[Material_UUID],LeitRess_Materialien[TMR '[kg Gesamtmaterialaufwand/kg']])*Baukon_neu[[#This Row],[Masse '[kg/m²'] max]]</f>
        <v>0</v>
      </c>
      <c r="AL51" s="70">
        <f>_xlfn.XLOOKUP(Baukon_neu[[#This Row],[LCA Datensatz]],LeitRess_Materialien[Material_UUID],LeitRess_Materialien[GWP '[kg CO2-Äqu./kg']])*Baukon_neu[[#This Row],[Masse '[kg/m²'] Referenz]]</f>
        <v>0</v>
      </c>
      <c r="AM51" s="70">
        <f>_xlfn.XLOOKUP(Baukon_neu[[#This Row],[LCA Datensatz]],LeitRess_Materialien[Material_UUID],LeitRess_Materialien[GWP '[kg CO2-Äqu./kg']])*Baukon_neu[[#This Row],[Masse '[kg/m²'] min]]</f>
        <v>0</v>
      </c>
      <c r="AN51" s="70">
        <f>_xlfn.XLOOKUP(Baukon_neu[[#This Row],[LCA Datensatz]],LeitRess_Materialien[Material_UUID],LeitRess_Materialien[GWP '[kg CO2-Äqu./kg']])*Baukon_neu[[#This Row],[Masse '[kg/m²'] max]]</f>
        <v>0</v>
      </c>
      <c r="AO51" s="70">
        <f>_xlfn.XLOOKUP(Baukon_neu[[#This Row],[LCA Datensatz]],LeitRess_Materialien[Material_UUID],LeitRess_Materialien[PENRT '[MJ/kg']])*Baukon_neu[[#This Row],[Masse '[kg/m²'] Referenz]]</f>
        <v>0</v>
      </c>
      <c r="AP51" s="70">
        <f>_xlfn.XLOOKUP(Baukon_neu[[#This Row],[LCA Datensatz]],LeitRess_Materialien[Material_UUID],LeitRess_Materialien[PENRT '[MJ/kg']])*Baukon_neu[[#This Row],[Masse '[kg/m²'] min]]</f>
        <v>0</v>
      </c>
      <c r="AQ51" s="70">
        <f>_xlfn.XLOOKUP(Baukon_neu[[#This Row],[LCA Datensatz]],LeitRess_Materialien[Material_UUID],LeitRess_Materialien[PENRT '[MJ/kg']])*Baukon_neu[[#This Row],[Masse '[kg/m²'] max]]</f>
        <v>0</v>
      </c>
      <c r="AR51" s="70" t="e">
        <f>_xlfn.XLOOKUP(Baukon_neu[[#This Row],[LCA Datensatz]],LeitRess_Materialien[Material_UUID],#REF!)*Baukon_neu[[#This Row],[Masse '[kg/m²'] Referenz]]</f>
        <v>#REF!</v>
      </c>
      <c r="AS51" s="70" t="e">
        <f>_xlfn.XLOOKUP(Baukon_neu[[#This Row],[LCA Datensatz]],LeitRess_Materialien[Material_UUID],#REF!)*Baukon_neu[[#This Row],[Masse '[kg/m²'] min]]</f>
        <v>#REF!</v>
      </c>
      <c r="AT51" s="70" t="e">
        <f>_xlfn.XLOOKUP(Baukon_neu[[#This Row],[LCA Datensatz]],LeitRess_Materialien[Material_UUID],#REF!)*Baukon_neu[[#This Row],[Masse '[kg/m²'] max]]</f>
        <v>#REF!</v>
      </c>
      <c r="AU51" s="70">
        <f>_xlfn.XLOOKUP(Baukon_neu[[#This Row],[LCA Datensatz]],LeitRess_Materialien[Material_UUID],LeitRess_Materialien[WDP '[m³ weighted water/kg']])*Baukon_neu[[#This Row],[Masse '[kg/m²'] Referenz]]</f>
        <v>0</v>
      </c>
      <c r="AV51" s="70">
        <f>_xlfn.XLOOKUP(Baukon_neu[[#This Row],[LCA Datensatz]],LeitRess_Materialien[Material_UUID],LeitRess_Materialien[WDP '[m³ weighted water/kg']])*Baukon_neu[[#This Row],[Masse '[kg/m²'] min]]</f>
        <v>0</v>
      </c>
      <c r="AW51" s="70">
        <f>_xlfn.XLOOKUP(Baukon_neu[[#This Row],[LCA Datensatz]],LeitRess_Materialien[Material_UUID],LeitRess_Materialien[WDP '[m³ weighted water/kg']])*Baukon_neu[[#This Row],[Masse '[kg/m²'] max]]</f>
        <v>0</v>
      </c>
      <c r="AX51" s="108">
        <f>Baukon_neu[[#This Row],[GWP '[kg CO2-Äqu./m²'] Referenz]]/'Ausgabe Tabellen'!$C$21+Baukon_neu[[#This Row],[PENRT '[MJ/m²'] Referenz]]/'Ausgabe Tabellen'!$C$22+Baukon_neu[[#This Row],[RMI '[kg Primärrohstoffe/m²'] Referenz]]/'Ausgabe Tabellen'!$C$23+Baukon_neu[[#This Row],[WDP '[m² weighted water/m²'] Referenz]]/'Ausgabe Tabellen'!$C$24</f>
        <v>0</v>
      </c>
      <c r="AY51" s="108">
        <f>Baukon_neu[[#This Row],[GWP '[kg CO2-Äqu./m²'] min]]/'Ausgabe Tabellen'!$C$21+Baukon_neu[[#This Row],[PENRT '[MJ/m²'] min]]/'Ausgabe Tabellen'!$C$22+Baukon_neu[[#This Row],[RMI '[kg Primärrohstoffe/m²'] min]]/'Ausgabe Tabellen'!$C$23+Baukon_neu[[#This Row],[WDP '[m² weighted water/m²'] min]]/'Ausgabe Tabellen'!$C$24</f>
        <v>0</v>
      </c>
      <c r="AZ51" s="108">
        <f>Baukon_neu[[#This Row],[GWP '[kg CO2-Äqu./m²'] max]]/'Ausgabe Tabellen'!$C$21+Baukon_neu[[#This Row],[PENRT '[MJ/m²'] max]]/'Ausgabe Tabellen'!$C$22+Baukon_neu[[#This Row],[RMI '[kg Primärrohstoffe/m²'] max]]/'Ausgabe Tabellen'!$C$23+Baukon_neu[[#This Row],[WDP '[m² weighted water/m²'] max]]/'Ausgabe Tabellen'!$C$24</f>
        <v>0</v>
      </c>
    </row>
    <row r="52" spans="1:52" x14ac:dyDescent="0.65">
      <c r="A52" s="73" t="s">
        <v>244</v>
      </c>
      <c r="B52" s="74"/>
      <c r="C52" s="74"/>
      <c r="D52" s="74"/>
      <c r="E52" s="106" t="str">
        <f>Baukon_neu[[#This Row],[Variante Nummer]]&amp;". "&amp;Baukon_neu[[#This Row],[Name Baukonstruktion]]&amp;" | " &amp;Baukon_neu[[#This Row],[Variante Name]]</f>
        <v xml:space="preserve">.  | </v>
      </c>
      <c r="F52" s="128" t="str">
        <f>IF(IFERROR(_xlfn.XLOOKUP(Baukon_neu[[#This Row],[ID Baukonstruktion]],Baukon_alle_A1_A3_results[ID Baukonstruktion],Baukon_alle_A1_A3_results[ID Baukonstruktion]),"okay")="okay", "okay","Achtung, id wird bereits verwendet")</f>
        <v>okay</v>
      </c>
      <c r="G52" s="75"/>
      <c r="H52" s="73" t="s">
        <v>244</v>
      </c>
      <c r="I52" s="73" t="s">
        <v>244</v>
      </c>
      <c r="J52" s="74"/>
      <c r="K52" s="68">
        <f>IF(Baukon_neu[[#This Row],[ist Dämmstoff?]]="ja",Baukon_neu[[#This Row],[Dicke '[mm'] Referenz]]+_xlfn.XLOOKUP(RIGHT(Baukon_neu[[#Headers],[Dicke '[mm'] min]],3),Dämmstoffvarianten[Variante],Dämmstoffvarianten[Differenz Dämmstoffedicke zu Referenz '[mm']]),Baukon_neu[[#This Row],[Dicke '[mm'] Referenz]])</f>
        <v>0</v>
      </c>
      <c r="L52" s="68">
        <f>IF(Baukon_neu[[#This Row],[ist Dämmstoff?]]="ja",Baukon_neu[[#This Row],[Dicke '[mm'] Referenz]]+_xlfn.XLOOKUP(RIGHT(Baukon_neu[[#Headers],[Dicke '[mm'] max]],3),Dämmstoffvarianten[Variante],Dämmstoffvarianten[Differenz Dämmstoffedicke zu Referenz '[mm']]),Baukon_neu[[#This Row],[Dicke '[mm'] Referenz]])</f>
        <v>0</v>
      </c>
      <c r="M52" s="109">
        <v>1</v>
      </c>
      <c r="N52" s="75"/>
      <c r="O52" s="69">
        <f>IFERROR(Baukon_neu[[#This Row],[Dicke '[mm'] Referenz]]/1000*Baukon_neu[[#This Row],[Flächenanteil '[%']]],"")</f>
        <v>0</v>
      </c>
      <c r="P52" s="69">
        <f>IFERROR(Baukon_neu[[#This Row],[Dicke '[mm'] min]]/1000*Baukon_neu[[#This Row],[Flächenanteil '[%']]],"")</f>
        <v>0</v>
      </c>
      <c r="Q52" s="69">
        <f>IFERROR(Baukon_neu[[#This Row],[Dicke '[mm'] max]]/1000*Baukon_neu[[#This Row],[Flächenanteil '[%']]],"")</f>
        <v>0</v>
      </c>
      <c r="R52" s="77" t="s">
        <v>226</v>
      </c>
      <c r="S52" s="69" t="str">
        <f>IFERROR(_xlfn.XLOOKUP(Baukon_neu[[#This Row],[Produkt]],LeitRess_Materialien[Name],LeitRess_Materialien[Material_UUID]),"")</f>
        <v>0</v>
      </c>
      <c r="T52" s="69">
        <f>IF(OR(Baukon_neu[[#This Row],[Rohdichte '[kg/m³'], Eingabe ]]="", Baukon_neu[[#This Row],[Rohdichte '[kg/m³'], Eingabe ]]="0"),_xlfn.XLOOKUP(Baukon_neu[[#This Row],[LCA Datensatz]],LeitRess_Materialien[Material_UUID],LeitRess_Materialien[Rohdichte_'[kg/m3']]),Baukon_neu[[#This Row],[Rohdichte '[kg/m³'], Eingabe ]])</f>
        <v>0</v>
      </c>
      <c r="U52" s="69">
        <f>IF(OR(Baukon_neu[[#This Row],[Flächengewicht '[kg/m²'], Eingabe ]]="", Baukon_neu[[#This Row],[Flächengewicht '[kg/m²'], Eingabe ]]="0"),_xlfn.XLOOKUP(Baukon_neu[[#This Row],[LCA Datensatz]],LeitRess_Materialien[Material_UUID],LeitRess_Materialien[Flächengewicht_'[kg/m2']]),Baukon_neu[[#This Row],[Flächengewicht '[kg/m²'], Eingabe ]])</f>
        <v>0</v>
      </c>
      <c r="V52" s="69">
        <f>IF(OR(Baukon_neu[[#This Row],[Längengewicht '[kg/m'], Eingabe ]]="", Baukon_neu[[#This Row],[Längengewicht '[kg/m'], Eingabe ]]="0"),_xlfn.XLOOKUP(Baukon_neu[[#This Row],[LCA Datensatz]],LeitRess_Materialien[Material_UUID],LeitRess_Materialien[Längengewicht_'[kg/m']]),Baukon_neu[[#This Row],[Längengewicht '[kg/m'], Eingabe ]])</f>
        <v>0</v>
      </c>
      <c r="W52" s="69">
        <f>IF(OR(Baukon_neu[[#This Row],[lambda_'[W/mK'], Eingabe ]]="", Baukon_neu[[#This Row],[lambda_'[W/mK'], Eingabe ]]="0"),_xlfn.XLOOKUP(Baukon_neu[[#This Row],[LCA Datensatz]],LeitRess_Materialien[Material_UUID],LeitRess_Materialien[lambda_'[W/mK']]),Baukon_neu[[#This Row],[lambda_'[W/mK'], Eingabe ]])</f>
        <v>0</v>
      </c>
      <c r="X52" s="77"/>
      <c r="Y52" s="77"/>
      <c r="Z52" s="77"/>
      <c r="AA52" s="77"/>
      <c r="AB52" s="69">
        <f>IFERROR(
    IF(Baukon_neu[[#This Row],[Länge '[m/m²']]]*Baukon_neu[[#This Row],[Längengewicht '[kg/m']]]&lt;&gt;0, Baukon_neu[[#This Row],[Länge '[m/m²']]]*Baukon_neu[[#This Row],[Längengewicht '[kg/m']]],
       IF( Baukon_neu[[#This Row],[Volumen '[m³/m²'] Referenz]]*Baukon_neu[[#This Row],[Rohdichte '[kg/m³']]]&lt;&gt;0,
        Baukon_neu[[#This Row],[Volumen '[m³/m²'] Referenz]]*Baukon_neu[[#This Row],[Rohdichte '[kg/m³']]],
                Baukon_neu[[#This Row],[Flächenanteil '[%']]]*Baukon_neu[[#This Row],[Flächengewicht '[kg/m²']]])),"")</f>
        <v>0</v>
      </c>
      <c r="AC52" s="69">
        <f>IFERROR(
    IF(Baukon_neu[[#This Row],[Länge '[m/m²']]]*Baukon_neu[[#This Row],[Längengewicht '[kg/m']]]&lt;&gt;0, Baukon_neu[[#This Row],[Länge '[m/m²']]]*Baukon_neu[[#This Row],[Längengewicht '[kg/m']]],
       IF( Baukon_neu[[#This Row],[Volumen '[m³/m²'] min]]*Baukon_neu[[#This Row],[Rohdichte '[kg/m³']]]&lt;&gt;0,
        Baukon_neu[[#This Row],[Volumen '[m³/m²'] min]]*Baukon_neu[[#This Row],[Rohdichte '[kg/m³']]],
                Baukon_neu[[#This Row],[Flächenanteil '[%']]]*Baukon_neu[[#This Row],[Flächengewicht '[kg/m²']]])),"")</f>
        <v>0</v>
      </c>
      <c r="AD52" s="69">
        <f>IFERROR(
    IF(Baukon_neu[[#This Row],[Länge '[m/m²']]]*Baukon_neu[[#This Row],[Längengewicht '[kg/m']]]&lt;&gt;0, Baukon_neu[[#This Row],[Länge '[m/m²']]]*Baukon_neu[[#This Row],[Längengewicht '[kg/m']]],
       IF( Baukon_neu[[#This Row],[Volumen '[m³/m²'] max]]*Baukon_neu[[#This Row],[Rohdichte '[kg/m³']]]&lt;&gt;0,
        Baukon_neu[[#This Row],[Volumen '[m³/m²'] max]]*Baukon_neu[[#This Row],[Rohdichte '[kg/m³']]],
                Baukon_neu[[#This Row],[Flächenanteil '[%']]]*Baukon_neu[[#This Row],[Flächengewicht '[kg/m²']]])),"")</f>
        <v>0</v>
      </c>
      <c r="AE52" s="107" t="str">
        <f>IFERROR(Baukon_neu[[#This Row],[Dicke '[mm'] Referenz]]/Baukon_neu[[#This Row],[lambda_'[W/mK']]],"")</f>
        <v/>
      </c>
      <c r="AF52" s="70">
        <f>_xlfn.XLOOKUP(Baukon_neu[[#This Row],[LCA Datensatz]],LeitRess_Materialien[Material_UUID],LeitRess_Materialien[RMI '[kg Primärrohstoffe / kg']])*Baukon_neu[[#This Row],[Masse '[kg/m²'] Referenz]]</f>
        <v>0</v>
      </c>
      <c r="AG52" s="70">
        <f>_xlfn.XLOOKUP(Baukon_neu[[#This Row],[LCA Datensatz]],LeitRess_Materialien[Material_UUID],LeitRess_Materialien[RMI '[kg Primärrohstoffe / kg']])*Baukon_neu[[#This Row],[Masse '[kg/m²'] min]]</f>
        <v>0</v>
      </c>
      <c r="AH52" s="70">
        <f>_xlfn.XLOOKUP(Baukon_neu[[#This Row],[LCA Datensatz]],LeitRess_Materialien[Material_UUID],LeitRess_Materialien[RMI '[kg Primärrohstoffe / kg']])*Baukon_neu[[#This Row],[Masse '[kg/m²'] max]]</f>
        <v>0</v>
      </c>
      <c r="AI52" s="70">
        <f>_xlfn.XLOOKUP(Baukon_neu[[#This Row],[LCA Datensatz]],LeitRess_Materialien[Material_UUID],LeitRess_Materialien[TMR '[kg Gesamtmaterialaufwand/kg']])*Baukon_neu[[#This Row],[Masse '[kg/m²'] Referenz]]</f>
        <v>0</v>
      </c>
      <c r="AJ52" s="70">
        <f>_xlfn.XLOOKUP(Baukon_neu[[#This Row],[LCA Datensatz]],LeitRess_Materialien[Material_UUID],LeitRess_Materialien[TMR '[kg Gesamtmaterialaufwand/kg']])*Baukon_neu[[#This Row],[Masse '[kg/m²'] min]]</f>
        <v>0</v>
      </c>
      <c r="AK52" s="70">
        <f>_xlfn.XLOOKUP(Baukon_neu[[#This Row],[LCA Datensatz]],LeitRess_Materialien[Material_UUID],LeitRess_Materialien[TMR '[kg Gesamtmaterialaufwand/kg']])*Baukon_neu[[#This Row],[Masse '[kg/m²'] max]]</f>
        <v>0</v>
      </c>
      <c r="AL52" s="70">
        <f>_xlfn.XLOOKUP(Baukon_neu[[#This Row],[LCA Datensatz]],LeitRess_Materialien[Material_UUID],LeitRess_Materialien[GWP '[kg CO2-Äqu./kg']])*Baukon_neu[[#This Row],[Masse '[kg/m²'] Referenz]]</f>
        <v>0</v>
      </c>
      <c r="AM52" s="70">
        <f>_xlfn.XLOOKUP(Baukon_neu[[#This Row],[LCA Datensatz]],LeitRess_Materialien[Material_UUID],LeitRess_Materialien[GWP '[kg CO2-Äqu./kg']])*Baukon_neu[[#This Row],[Masse '[kg/m²'] min]]</f>
        <v>0</v>
      </c>
      <c r="AN52" s="70">
        <f>_xlfn.XLOOKUP(Baukon_neu[[#This Row],[LCA Datensatz]],LeitRess_Materialien[Material_UUID],LeitRess_Materialien[GWP '[kg CO2-Äqu./kg']])*Baukon_neu[[#This Row],[Masse '[kg/m²'] max]]</f>
        <v>0</v>
      </c>
      <c r="AO52" s="70">
        <f>_xlfn.XLOOKUP(Baukon_neu[[#This Row],[LCA Datensatz]],LeitRess_Materialien[Material_UUID],LeitRess_Materialien[PENRT '[MJ/kg']])*Baukon_neu[[#This Row],[Masse '[kg/m²'] Referenz]]</f>
        <v>0</v>
      </c>
      <c r="AP52" s="70">
        <f>_xlfn.XLOOKUP(Baukon_neu[[#This Row],[LCA Datensatz]],LeitRess_Materialien[Material_UUID],LeitRess_Materialien[PENRT '[MJ/kg']])*Baukon_neu[[#This Row],[Masse '[kg/m²'] min]]</f>
        <v>0</v>
      </c>
      <c r="AQ52" s="70">
        <f>_xlfn.XLOOKUP(Baukon_neu[[#This Row],[LCA Datensatz]],LeitRess_Materialien[Material_UUID],LeitRess_Materialien[PENRT '[MJ/kg']])*Baukon_neu[[#This Row],[Masse '[kg/m²'] max]]</f>
        <v>0</v>
      </c>
      <c r="AR52" s="70" t="e">
        <f>_xlfn.XLOOKUP(Baukon_neu[[#This Row],[LCA Datensatz]],LeitRess_Materialien[Material_UUID],#REF!)*Baukon_neu[[#This Row],[Masse '[kg/m²'] Referenz]]</f>
        <v>#REF!</v>
      </c>
      <c r="AS52" s="70" t="e">
        <f>_xlfn.XLOOKUP(Baukon_neu[[#This Row],[LCA Datensatz]],LeitRess_Materialien[Material_UUID],#REF!)*Baukon_neu[[#This Row],[Masse '[kg/m²'] min]]</f>
        <v>#REF!</v>
      </c>
      <c r="AT52" s="70" t="e">
        <f>_xlfn.XLOOKUP(Baukon_neu[[#This Row],[LCA Datensatz]],LeitRess_Materialien[Material_UUID],#REF!)*Baukon_neu[[#This Row],[Masse '[kg/m²'] max]]</f>
        <v>#REF!</v>
      </c>
      <c r="AU52" s="70">
        <f>_xlfn.XLOOKUP(Baukon_neu[[#This Row],[LCA Datensatz]],LeitRess_Materialien[Material_UUID],LeitRess_Materialien[WDP '[m³ weighted water/kg']])*Baukon_neu[[#This Row],[Masse '[kg/m²'] Referenz]]</f>
        <v>0</v>
      </c>
      <c r="AV52" s="70">
        <f>_xlfn.XLOOKUP(Baukon_neu[[#This Row],[LCA Datensatz]],LeitRess_Materialien[Material_UUID],LeitRess_Materialien[WDP '[m³ weighted water/kg']])*Baukon_neu[[#This Row],[Masse '[kg/m²'] min]]</f>
        <v>0</v>
      </c>
      <c r="AW52" s="70">
        <f>_xlfn.XLOOKUP(Baukon_neu[[#This Row],[LCA Datensatz]],LeitRess_Materialien[Material_UUID],LeitRess_Materialien[WDP '[m³ weighted water/kg']])*Baukon_neu[[#This Row],[Masse '[kg/m²'] max]]</f>
        <v>0</v>
      </c>
      <c r="AX52" s="108">
        <f>Baukon_neu[[#This Row],[GWP '[kg CO2-Äqu./m²'] Referenz]]/'Ausgabe Tabellen'!$C$21+Baukon_neu[[#This Row],[PENRT '[MJ/m²'] Referenz]]/'Ausgabe Tabellen'!$C$22+Baukon_neu[[#This Row],[RMI '[kg Primärrohstoffe/m²'] Referenz]]/'Ausgabe Tabellen'!$C$23+Baukon_neu[[#This Row],[WDP '[m² weighted water/m²'] Referenz]]/'Ausgabe Tabellen'!$C$24</f>
        <v>0</v>
      </c>
      <c r="AY52" s="108">
        <f>Baukon_neu[[#This Row],[GWP '[kg CO2-Äqu./m²'] min]]/'Ausgabe Tabellen'!$C$21+Baukon_neu[[#This Row],[PENRT '[MJ/m²'] min]]/'Ausgabe Tabellen'!$C$22+Baukon_neu[[#This Row],[RMI '[kg Primärrohstoffe/m²'] min]]/'Ausgabe Tabellen'!$C$23+Baukon_neu[[#This Row],[WDP '[m² weighted water/m²'] min]]/'Ausgabe Tabellen'!$C$24</f>
        <v>0</v>
      </c>
      <c r="AZ52" s="108">
        <f>Baukon_neu[[#This Row],[GWP '[kg CO2-Äqu./m²'] max]]/'Ausgabe Tabellen'!$C$21+Baukon_neu[[#This Row],[PENRT '[MJ/m²'] max]]/'Ausgabe Tabellen'!$C$22+Baukon_neu[[#This Row],[RMI '[kg Primärrohstoffe/m²'] max]]/'Ausgabe Tabellen'!$C$23+Baukon_neu[[#This Row],[WDP '[m² weighted water/m²'] max]]/'Ausgabe Tabellen'!$C$24</f>
        <v>0</v>
      </c>
    </row>
    <row r="53" spans="1:52" x14ac:dyDescent="0.65">
      <c r="A53" s="73" t="s">
        <v>244</v>
      </c>
      <c r="B53" s="74"/>
      <c r="C53" s="74"/>
      <c r="D53" s="74"/>
      <c r="E53" s="106" t="str">
        <f>Baukon_neu[[#This Row],[Variante Nummer]]&amp;". "&amp;Baukon_neu[[#This Row],[Name Baukonstruktion]]&amp;" | " &amp;Baukon_neu[[#This Row],[Variante Name]]</f>
        <v xml:space="preserve">.  | </v>
      </c>
      <c r="F53" s="128" t="str">
        <f>IF(IFERROR(_xlfn.XLOOKUP(Baukon_neu[[#This Row],[ID Baukonstruktion]],Baukon_alle_A1_A3_results[ID Baukonstruktion],Baukon_alle_A1_A3_results[ID Baukonstruktion]),"okay")="okay", "okay","Achtung, id wird bereits verwendet")</f>
        <v>okay</v>
      </c>
      <c r="G53" s="75"/>
      <c r="H53" s="73" t="s">
        <v>244</v>
      </c>
      <c r="I53" s="73" t="s">
        <v>244</v>
      </c>
      <c r="J53" s="74"/>
      <c r="K53" s="68">
        <f>IF(Baukon_neu[[#This Row],[ist Dämmstoff?]]="ja",Baukon_neu[[#This Row],[Dicke '[mm'] Referenz]]+_xlfn.XLOOKUP(RIGHT(Baukon_neu[[#Headers],[Dicke '[mm'] min]],3),Dämmstoffvarianten[Variante],Dämmstoffvarianten[Differenz Dämmstoffedicke zu Referenz '[mm']]),Baukon_neu[[#This Row],[Dicke '[mm'] Referenz]])</f>
        <v>0</v>
      </c>
      <c r="L53" s="68">
        <f>IF(Baukon_neu[[#This Row],[ist Dämmstoff?]]="ja",Baukon_neu[[#This Row],[Dicke '[mm'] Referenz]]+_xlfn.XLOOKUP(RIGHT(Baukon_neu[[#Headers],[Dicke '[mm'] max]],3),Dämmstoffvarianten[Variante],Dämmstoffvarianten[Differenz Dämmstoffedicke zu Referenz '[mm']]),Baukon_neu[[#This Row],[Dicke '[mm'] Referenz]])</f>
        <v>0</v>
      </c>
      <c r="M53" s="109">
        <v>1</v>
      </c>
      <c r="N53" s="75"/>
      <c r="O53" s="69">
        <f>IFERROR(Baukon_neu[[#This Row],[Dicke '[mm'] Referenz]]/1000*Baukon_neu[[#This Row],[Flächenanteil '[%']]],"")</f>
        <v>0</v>
      </c>
      <c r="P53" s="69">
        <f>IFERROR(Baukon_neu[[#This Row],[Dicke '[mm'] min]]/1000*Baukon_neu[[#This Row],[Flächenanteil '[%']]],"")</f>
        <v>0</v>
      </c>
      <c r="Q53" s="69">
        <f>IFERROR(Baukon_neu[[#This Row],[Dicke '[mm'] max]]/1000*Baukon_neu[[#This Row],[Flächenanteil '[%']]],"")</f>
        <v>0</v>
      </c>
      <c r="R53" s="77" t="s">
        <v>226</v>
      </c>
      <c r="S53" s="69" t="str">
        <f>IFERROR(_xlfn.XLOOKUP(Baukon_neu[[#This Row],[Produkt]],LeitRess_Materialien[Name],LeitRess_Materialien[Material_UUID]),"")</f>
        <v>0</v>
      </c>
      <c r="T53" s="69">
        <f>IF(OR(Baukon_neu[[#This Row],[Rohdichte '[kg/m³'], Eingabe ]]="", Baukon_neu[[#This Row],[Rohdichte '[kg/m³'], Eingabe ]]="0"),_xlfn.XLOOKUP(Baukon_neu[[#This Row],[LCA Datensatz]],LeitRess_Materialien[Material_UUID],LeitRess_Materialien[Rohdichte_'[kg/m3']]),Baukon_neu[[#This Row],[Rohdichte '[kg/m³'], Eingabe ]])</f>
        <v>0</v>
      </c>
      <c r="U53" s="69">
        <f>IF(OR(Baukon_neu[[#This Row],[Flächengewicht '[kg/m²'], Eingabe ]]="", Baukon_neu[[#This Row],[Flächengewicht '[kg/m²'], Eingabe ]]="0"),_xlfn.XLOOKUP(Baukon_neu[[#This Row],[LCA Datensatz]],LeitRess_Materialien[Material_UUID],LeitRess_Materialien[Flächengewicht_'[kg/m2']]),Baukon_neu[[#This Row],[Flächengewicht '[kg/m²'], Eingabe ]])</f>
        <v>0</v>
      </c>
      <c r="V53" s="69">
        <f>IF(OR(Baukon_neu[[#This Row],[Längengewicht '[kg/m'], Eingabe ]]="", Baukon_neu[[#This Row],[Längengewicht '[kg/m'], Eingabe ]]="0"),_xlfn.XLOOKUP(Baukon_neu[[#This Row],[LCA Datensatz]],LeitRess_Materialien[Material_UUID],LeitRess_Materialien[Längengewicht_'[kg/m']]),Baukon_neu[[#This Row],[Längengewicht '[kg/m'], Eingabe ]])</f>
        <v>0</v>
      </c>
      <c r="W53" s="69">
        <f>IF(OR(Baukon_neu[[#This Row],[lambda_'[W/mK'], Eingabe ]]="", Baukon_neu[[#This Row],[lambda_'[W/mK'], Eingabe ]]="0"),_xlfn.XLOOKUP(Baukon_neu[[#This Row],[LCA Datensatz]],LeitRess_Materialien[Material_UUID],LeitRess_Materialien[lambda_'[W/mK']]),Baukon_neu[[#This Row],[lambda_'[W/mK'], Eingabe ]])</f>
        <v>0</v>
      </c>
      <c r="X53" s="77"/>
      <c r="Y53" s="77"/>
      <c r="Z53" s="77"/>
      <c r="AA53" s="77"/>
      <c r="AB53" s="69">
        <f>IFERROR(
    IF(Baukon_neu[[#This Row],[Länge '[m/m²']]]*Baukon_neu[[#This Row],[Längengewicht '[kg/m']]]&lt;&gt;0, Baukon_neu[[#This Row],[Länge '[m/m²']]]*Baukon_neu[[#This Row],[Längengewicht '[kg/m']]],
       IF( Baukon_neu[[#This Row],[Volumen '[m³/m²'] Referenz]]*Baukon_neu[[#This Row],[Rohdichte '[kg/m³']]]&lt;&gt;0,
        Baukon_neu[[#This Row],[Volumen '[m³/m²'] Referenz]]*Baukon_neu[[#This Row],[Rohdichte '[kg/m³']]],
                Baukon_neu[[#This Row],[Flächenanteil '[%']]]*Baukon_neu[[#This Row],[Flächengewicht '[kg/m²']]])),"")</f>
        <v>0</v>
      </c>
      <c r="AC53" s="69">
        <f>IFERROR(
    IF(Baukon_neu[[#This Row],[Länge '[m/m²']]]*Baukon_neu[[#This Row],[Längengewicht '[kg/m']]]&lt;&gt;0, Baukon_neu[[#This Row],[Länge '[m/m²']]]*Baukon_neu[[#This Row],[Längengewicht '[kg/m']]],
       IF( Baukon_neu[[#This Row],[Volumen '[m³/m²'] min]]*Baukon_neu[[#This Row],[Rohdichte '[kg/m³']]]&lt;&gt;0,
        Baukon_neu[[#This Row],[Volumen '[m³/m²'] min]]*Baukon_neu[[#This Row],[Rohdichte '[kg/m³']]],
                Baukon_neu[[#This Row],[Flächenanteil '[%']]]*Baukon_neu[[#This Row],[Flächengewicht '[kg/m²']]])),"")</f>
        <v>0</v>
      </c>
      <c r="AD53" s="69">
        <f>IFERROR(
    IF(Baukon_neu[[#This Row],[Länge '[m/m²']]]*Baukon_neu[[#This Row],[Längengewicht '[kg/m']]]&lt;&gt;0, Baukon_neu[[#This Row],[Länge '[m/m²']]]*Baukon_neu[[#This Row],[Längengewicht '[kg/m']]],
       IF( Baukon_neu[[#This Row],[Volumen '[m³/m²'] max]]*Baukon_neu[[#This Row],[Rohdichte '[kg/m³']]]&lt;&gt;0,
        Baukon_neu[[#This Row],[Volumen '[m³/m²'] max]]*Baukon_neu[[#This Row],[Rohdichte '[kg/m³']]],
                Baukon_neu[[#This Row],[Flächenanteil '[%']]]*Baukon_neu[[#This Row],[Flächengewicht '[kg/m²']]])),"")</f>
        <v>0</v>
      </c>
      <c r="AE53" s="107" t="str">
        <f>IFERROR(Baukon_neu[[#This Row],[Dicke '[mm'] Referenz]]/Baukon_neu[[#This Row],[lambda_'[W/mK']]],"")</f>
        <v/>
      </c>
      <c r="AF53" s="70">
        <f>_xlfn.XLOOKUP(Baukon_neu[[#This Row],[LCA Datensatz]],LeitRess_Materialien[Material_UUID],LeitRess_Materialien[RMI '[kg Primärrohstoffe / kg']])*Baukon_neu[[#This Row],[Masse '[kg/m²'] Referenz]]</f>
        <v>0</v>
      </c>
      <c r="AG53" s="70">
        <f>_xlfn.XLOOKUP(Baukon_neu[[#This Row],[LCA Datensatz]],LeitRess_Materialien[Material_UUID],LeitRess_Materialien[RMI '[kg Primärrohstoffe / kg']])*Baukon_neu[[#This Row],[Masse '[kg/m²'] min]]</f>
        <v>0</v>
      </c>
      <c r="AH53" s="70">
        <f>_xlfn.XLOOKUP(Baukon_neu[[#This Row],[LCA Datensatz]],LeitRess_Materialien[Material_UUID],LeitRess_Materialien[RMI '[kg Primärrohstoffe / kg']])*Baukon_neu[[#This Row],[Masse '[kg/m²'] max]]</f>
        <v>0</v>
      </c>
      <c r="AI53" s="70">
        <f>_xlfn.XLOOKUP(Baukon_neu[[#This Row],[LCA Datensatz]],LeitRess_Materialien[Material_UUID],LeitRess_Materialien[TMR '[kg Gesamtmaterialaufwand/kg']])*Baukon_neu[[#This Row],[Masse '[kg/m²'] Referenz]]</f>
        <v>0</v>
      </c>
      <c r="AJ53" s="70">
        <f>_xlfn.XLOOKUP(Baukon_neu[[#This Row],[LCA Datensatz]],LeitRess_Materialien[Material_UUID],LeitRess_Materialien[TMR '[kg Gesamtmaterialaufwand/kg']])*Baukon_neu[[#This Row],[Masse '[kg/m²'] min]]</f>
        <v>0</v>
      </c>
      <c r="AK53" s="70">
        <f>_xlfn.XLOOKUP(Baukon_neu[[#This Row],[LCA Datensatz]],LeitRess_Materialien[Material_UUID],LeitRess_Materialien[TMR '[kg Gesamtmaterialaufwand/kg']])*Baukon_neu[[#This Row],[Masse '[kg/m²'] max]]</f>
        <v>0</v>
      </c>
      <c r="AL53" s="70">
        <f>_xlfn.XLOOKUP(Baukon_neu[[#This Row],[LCA Datensatz]],LeitRess_Materialien[Material_UUID],LeitRess_Materialien[GWP '[kg CO2-Äqu./kg']])*Baukon_neu[[#This Row],[Masse '[kg/m²'] Referenz]]</f>
        <v>0</v>
      </c>
      <c r="AM53" s="70">
        <f>_xlfn.XLOOKUP(Baukon_neu[[#This Row],[LCA Datensatz]],LeitRess_Materialien[Material_UUID],LeitRess_Materialien[GWP '[kg CO2-Äqu./kg']])*Baukon_neu[[#This Row],[Masse '[kg/m²'] min]]</f>
        <v>0</v>
      </c>
      <c r="AN53" s="70">
        <f>_xlfn.XLOOKUP(Baukon_neu[[#This Row],[LCA Datensatz]],LeitRess_Materialien[Material_UUID],LeitRess_Materialien[GWP '[kg CO2-Äqu./kg']])*Baukon_neu[[#This Row],[Masse '[kg/m²'] max]]</f>
        <v>0</v>
      </c>
      <c r="AO53" s="70">
        <f>_xlfn.XLOOKUP(Baukon_neu[[#This Row],[LCA Datensatz]],LeitRess_Materialien[Material_UUID],LeitRess_Materialien[PENRT '[MJ/kg']])*Baukon_neu[[#This Row],[Masse '[kg/m²'] Referenz]]</f>
        <v>0</v>
      </c>
      <c r="AP53" s="70">
        <f>_xlfn.XLOOKUP(Baukon_neu[[#This Row],[LCA Datensatz]],LeitRess_Materialien[Material_UUID],LeitRess_Materialien[PENRT '[MJ/kg']])*Baukon_neu[[#This Row],[Masse '[kg/m²'] min]]</f>
        <v>0</v>
      </c>
      <c r="AQ53" s="70">
        <f>_xlfn.XLOOKUP(Baukon_neu[[#This Row],[LCA Datensatz]],LeitRess_Materialien[Material_UUID],LeitRess_Materialien[PENRT '[MJ/kg']])*Baukon_neu[[#This Row],[Masse '[kg/m²'] max]]</f>
        <v>0</v>
      </c>
      <c r="AR53" s="70" t="e">
        <f>_xlfn.XLOOKUP(Baukon_neu[[#This Row],[LCA Datensatz]],LeitRess_Materialien[Material_UUID],#REF!)*Baukon_neu[[#This Row],[Masse '[kg/m²'] Referenz]]</f>
        <v>#REF!</v>
      </c>
      <c r="AS53" s="70" t="e">
        <f>_xlfn.XLOOKUP(Baukon_neu[[#This Row],[LCA Datensatz]],LeitRess_Materialien[Material_UUID],#REF!)*Baukon_neu[[#This Row],[Masse '[kg/m²'] min]]</f>
        <v>#REF!</v>
      </c>
      <c r="AT53" s="70" t="e">
        <f>_xlfn.XLOOKUP(Baukon_neu[[#This Row],[LCA Datensatz]],LeitRess_Materialien[Material_UUID],#REF!)*Baukon_neu[[#This Row],[Masse '[kg/m²'] max]]</f>
        <v>#REF!</v>
      </c>
      <c r="AU53" s="70">
        <f>_xlfn.XLOOKUP(Baukon_neu[[#This Row],[LCA Datensatz]],LeitRess_Materialien[Material_UUID],LeitRess_Materialien[WDP '[m³ weighted water/kg']])*Baukon_neu[[#This Row],[Masse '[kg/m²'] Referenz]]</f>
        <v>0</v>
      </c>
      <c r="AV53" s="70">
        <f>_xlfn.XLOOKUP(Baukon_neu[[#This Row],[LCA Datensatz]],LeitRess_Materialien[Material_UUID],LeitRess_Materialien[WDP '[m³ weighted water/kg']])*Baukon_neu[[#This Row],[Masse '[kg/m²'] min]]</f>
        <v>0</v>
      </c>
      <c r="AW53" s="70">
        <f>_xlfn.XLOOKUP(Baukon_neu[[#This Row],[LCA Datensatz]],LeitRess_Materialien[Material_UUID],LeitRess_Materialien[WDP '[m³ weighted water/kg']])*Baukon_neu[[#This Row],[Masse '[kg/m²'] max]]</f>
        <v>0</v>
      </c>
      <c r="AX53" s="108">
        <f>Baukon_neu[[#This Row],[GWP '[kg CO2-Äqu./m²'] Referenz]]/'Ausgabe Tabellen'!$C$21+Baukon_neu[[#This Row],[PENRT '[MJ/m²'] Referenz]]/'Ausgabe Tabellen'!$C$22+Baukon_neu[[#This Row],[RMI '[kg Primärrohstoffe/m²'] Referenz]]/'Ausgabe Tabellen'!$C$23+Baukon_neu[[#This Row],[WDP '[m² weighted water/m²'] Referenz]]/'Ausgabe Tabellen'!$C$24</f>
        <v>0</v>
      </c>
      <c r="AY53" s="108">
        <f>Baukon_neu[[#This Row],[GWP '[kg CO2-Äqu./m²'] min]]/'Ausgabe Tabellen'!$C$21+Baukon_neu[[#This Row],[PENRT '[MJ/m²'] min]]/'Ausgabe Tabellen'!$C$22+Baukon_neu[[#This Row],[RMI '[kg Primärrohstoffe/m²'] min]]/'Ausgabe Tabellen'!$C$23+Baukon_neu[[#This Row],[WDP '[m² weighted water/m²'] min]]/'Ausgabe Tabellen'!$C$24</f>
        <v>0</v>
      </c>
      <c r="AZ53" s="108">
        <f>Baukon_neu[[#This Row],[GWP '[kg CO2-Äqu./m²'] max]]/'Ausgabe Tabellen'!$C$21+Baukon_neu[[#This Row],[PENRT '[MJ/m²'] max]]/'Ausgabe Tabellen'!$C$22+Baukon_neu[[#This Row],[RMI '[kg Primärrohstoffe/m²'] max]]/'Ausgabe Tabellen'!$C$23+Baukon_neu[[#This Row],[WDP '[m² weighted water/m²'] max]]/'Ausgabe Tabellen'!$C$24</f>
        <v>0</v>
      </c>
    </row>
    <row r="54" spans="1:52" x14ac:dyDescent="0.65">
      <c r="A54" s="73" t="s">
        <v>244</v>
      </c>
      <c r="B54" s="74"/>
      <c r="C54" s="74"/>
      <c r="D54" s="74"/>
      <c r="E54" s="106" t="str">
        <f>Baukon_neu[[#This Row],[Variante Nummer]]&amp;". "&amp;Baukon_neu[[#This Row],[Name Baukonstruktion]]&amp;" | " &amp;Baukon_neu[[#This Row],[Variante Name]]</f>
        <v xml:space="preserve">.  | </v>
      </c>
      <c r="F54" s="128" t="str">
        <f>IF(IFERROR(_xlfn.XLOOKUP(Baukon_neu[[#This Row],[ID Baukonstruktion]],Baukon_alle_A1_A3_results[ID Baukonstruktion],Baukon_alle_A1_A3_results[ID Baukonstruktion]),"okay")="okay", "okay","Achtung, id wird bereits verwendet")</f>
        <v>okay</v>
      </c>
      <c r="G54" s="75"/>
      <c r="H54" s="73" t="s">
        <v>244</v>
      </c>
      <c r="I54" s="73" t="s">
        <v>244</v>
      </c>
      <c r="J54" s="74"/>
      <c r="K54" s="68">
        <f>IF(Baukon_neu[[#This Row],[ist Dämmstoff?]]="ja",Baukon_neu[[#This Row],[Dicke '[mm'] Referenz]]+_xlfn.XLOOKUP(RIGHT(Baukon_neu[[#Headers],[Dicke '[mm'] min]],3),Dämmstoffvarianten[Variante],Dämmstoffvarianten[Differenz Dämmstoffedicke zu Referenz '[mm']]),Baukon_neu[[#This Row],[Dicke '[mm'] Referenz]])</f>
        <v>0</v>
      </c>
      <c r="L54" s="68">
        <f>IF(Baukon_neu[[#This Row],[ist Dämmstoff?]]="ja",Baukon_neu[[#This Row],[Dicke '[mm'] Referenz]]+_xlfn.XLOOKUP(RIGHT(Baukon_neu[[#Headers],[Dicke '[mm'] max]],3),Dämmstoffvarianten[Variante],Dämmstoffvarianten[Differenz Dämmstoffedicke zu Referenz '[mm']]),Baukon_neu[[#This Row],[Dicke '[mm'] Referenz]])</f>
        <v>0</v>
      </c>
      <c r="M54" s="109">
        <v>1</v>
      </c>
      <c r="N54" s="75"/>
      <c r="O54" s="69">
        <f>IFERROR(Baukon_neu[[#This Row],[Dicke '[mm'] Referenz]]/1000*Baukon_neu[[#This Row],[Flächenanteil '[%']]],"")</f>
        <v>0</v>
      </c>
      <c r="P54" s="69">
        <f>IFERROR(Baukon_neu[[#This Row],[Dicke '[mm'] min]]/1000*Baukon_neu[[#This Row],[Flächenanteil '[%']]],"")</f>
        <v>0</v>
      </c>
      <c r="Q54" s="69">
        <f>IFERROR(Baukon_neu[[#This Row],[Dicke '[mm'] max]]/1000*Baukon_neu[[#This Row],[Flächenanteil '[%']]],"")</f>
        <v>0</v>
      </c>
      <c r="R54" s="77" t="s">
        <v>226</v>
      </c>
      <c r="S54" s="69" t="str">
        <f>IFERROR(_xlfn.XLOOKUP(Baukon_neu[[#This Row],[Produkt]],LeitRess_Materialien[Name],LeitRess_Materialien[Material_UUID]),"")</f>
        <v>0</v>
      </c>
      <c r="T54" s="69">
        <f>IF(OR(Baukon_neu[[#This Row],[Rohdichte '[kg/m³'], Eingabe ]]="", Baukon_neu[[#This Row],[Rohdichte '[kg/m³'], Eingabe ]]="0"),_xlfn.XLOOKUP(Baukon_neu[[#This Row],[LCA Datensatz]],LeitRess_Materialien[Material_UUID],LeitRess_Materialien[Rohdichte_'[kg/m3']]),Baukon_neu[[#This Row],[Rohdichte '[kg/m³'], Eingabe ]])</f>
        <v>0</v>
      </c>
      <c r="U54" s="69">
        <f>IF(OR(Baukon_neu[[#This Row],[Flächengewicht '[kg/m²'], Eingabe ]]="", Baukon_neu[[#This Row],[Flächengewicht '[kg/m²'], Eingabe ]]="0"),_xlfn.XLOOKUP(Baukon_neu[[#This Row],[LCA Datensatz]],LeitRess_Materialien[Material_UUID],LeitRess_Materialien[Flächengewicht_'[kg/m2']]),Baukon_neu[[#This Row],[Flächengewicht '[kg/m²'], Eingabe ]])</f>
        <v>0</v>
      </c>
      <c r="V54" s="69">
        <f>IF(OR(Baukon_neu[[#This Row],[Längengewicht '[kg/m'], Eingabe ]]="", Baukon_neu[[#This Row],[Längengewicht '[kg/m'], Eingabe ]]="0"),_xlfn.XLOOKUP(Baukon_neu[[#This Row],[LCA Datensatz]],LeitRess_Materialien[Material_UUID],LeitRess_Materialien[Längengewicht_'[kg/m']]),Baukon_neu[[#This Row],[Längengewicht '[kg/m'], Eingabe ]])</f>
        <v>0</v>
      </c>
      <c r="W54" s="69">
        <f>IF(OR(Baukon_neu[[#This Row],[lambda_'[W/mK'], Eingabe ]]="", Baukon_neu[[#This Row],[lambda_'[W/mK'], Eingabe ]]="0"),_xlfn.XLOOKUP(Baukon_neu[[#This Row],[LCA Datensatz]],LeitRess_Materialien[Material_UUID],LeitRess_Materialien[lambda_'[W/mK']]),Baukon_neu[[#This Row],[lambda_'[W/mK'], Eingabe ]])</f>
        <v>0</v>
      </c>
      <c r="X54" s="77"/>
      <c r="Y54" s="77"/>
      <c r="Z54" s="77"/>
      <c r="AA54" s="77"/>
      <c r="AB54" s="69">
        <f>IFERROR(
    IF(Baukon_neu[[#This Row],[Länge '[m/m²']]]*Baukon_neu[[#This Row],[Längengewicht '[kg/m']]]&lt;&gt;0, Baukon_neu[[#This Row],[Länge '[m/m²']]]*Baukon_neu[[#This Row],[Längengewicht '[kg/m']]],
       IF( Baukon_neu[[#This Row],[Volumen '[m³/m²'] Referenz]]*Baukon_neu[[#This Row],[Rohdichte '[kg/m³']]]&lt;&gt;0,
        Baukon_neu[[#This Row],[Volumen '[m³/m²'] Referenz]]*Baukon_neu[[#This Row],[Rohdichte '[kg/m³']]],
                Baukon_neu[[#This Row],[Flächenanteil '[%']]]*Baukon_neu[[#This Row],[Flächengewicht '[kg/m²']]])),"")</f>
        <v>0</v>
      </c>
      <c r="AC54" s="69">
        <f>IFERROR(
    IF(Baukon_neu[[#This Row],[Länge '[m/m²']]]*Baukon_neu[[#This Row],[Längengewicht '[kg/m']]]&lt;&gt;0, Baukon_neu[[#This Row],[Länge '[m/m²']]]*Baukon_neu[[#This Row],[Längengewicht '[kg/m']]],
       IF( Baukon_neu[[#This Row],[Volumen '[m³/m²'] min]]*Baukon_neu[[#This Row],[Rohdichte '[kg/m³']]]&lt;&gt;0,
        Baukon_neu[[#This Row],[Volumen '[m³/m²'] min]]*Baukon_neu[[#This Row],[Rohdichte '[kg/m³']]],
                Baukon_neu[[#This Row],[Flächenanteil '[%']]]*Baukon_neu[[#This Row],[Flächengewicht '[kg/m²']]])),"")</f>
        <v>0</v>
      </c>
      <c r="AD54" s="69">
        <f>IFERROR(
    IF(Baukon_neu[[#This Row],[Länge '[m/m²']]]*Baukon_neu[[#This Row],[Längengewicht '[kg/m']]]&lt;&gt;0, Baukon_neu[[#This Row],[Länge '[m/m²']]]*Baukon_neu[[#This Row],[Längengewicht '[kg/m']]],
       IF( Baukon_neu[[#This Row],[Volumen '[m³/m²'] max]]*Baukon_neu[[#This Row],[Rohdichte '[kg/m³']]]&lt;&gt;0,
        Baukon_neu[[#This Row],[Volumen '[m³/m²'] max]]*Baukon_neu[[#This Row],[Rohdichte '[kg/m³']]],
                Baukon_neu[[#This Row],[Flächenanteil '[%']]]*Baukon_neu[[#This Row],[Flächengewicht '[kg/m²']]])),"")</f>
        <v>0</v>
      </c>
      <c r="AE54" s="107" t="str">
        <f>IFERROR(Baukon_neu[[#This Row],[Dicke '[mm'] Referenz]]/Baukon_neu[[#This Row],[lambda_'[W/mK']]],"")</f>
        <v/>
      </c>
      <c r="AF54" s="70">
        <f>_xlfn.XLOOKUP(Baukon_neu[[#This Row],[LCA Datensatz]],LeitRess_Materialien[Material_UUID],LeitRess_Materialien[RMI '[kg Primärrohstoffe / kg']])*Baukon_neu[[#This Row],[Masse '[kg/m²'] Referenz]]</f>
        <v>0</v>
      </c>
      <c r="AG54" s="70">
        <f>_xlfn.XLOOKUP(Baukon_neu[[#This Row],[LCA Datensatz]],LeitRess_Materialien[Material_UUID],LeitRess_Materialien[RMI '[kg Primärrohstoffe / kg']])*Baukon_neu[[#This Row],[Masse '[kg/m²'] min]]</f>
        <v>0</v>
      </c>
      <c r="AH54" s="70">
        <f>_xlfn.XLOOKUP(Baukon_neu[[#This Row],[LCA Datensatz]],LeitRess_Materialien[Material_UUID],LeitRess_Materialien[RMI '[kg Primärrohstoffe / kg']])*Baukon_neu[[#This Row],[Masse '[kg/m²'] max]]</f>
        <v>0</v>
      </c>
      <c r="AI54" s="70">
        <f>_xlfn.XLOOKUP(Baukon_neu[[#This Row],[LCA Datensatz]],LeitRess_Materialien[Material_UUID],LeitRess_Materialien[TMR '[kg Gesamtmaterialaufwand/kg']])*Baukon_neu[[#This Row],[Masse '[kg/m²'] Referenz]]</f>
        <v>0</v>
      </c>
      <c r="AJ54" s="70">
        <f>_xlfn.XLOOKUP(Baukon_neu[[#This Row],[LCA Datensatz]],LeitRess_Materialien[Material_UUID],LeitRess_Materialien[TMR '[kg Gesamtmaterialaufwand/kg']])*Baukon_neu[[#This Row],[Masse '[kg/m²'] min]]</f>
        <v>0</v>
      </c>
      <c r="AK54" s="70">
        <f>_xlfn.XLOOKUP(Baukon_neu[[#This Row],[LCA Datensatz]],LeitRess_Materialien[Material_UUID],LeitRess_Materialien[TMR '[kg Gesamtmaterialaufwand/kg']])*Baukon_neu[[#This Row],[Masse '[kg/m²'] max]]</f>
        <v>0</v>
      </c>
      <c r="AL54" s="70">
        <f>_xlfn.XLOOKUP(Baukon_neu[[#This Row],[LCA Datensatz]],LeitRess_Materialien[Material_UUID],LeitRess_Materialien[GWP '[kg CO2-Äqu./kg']])*Baukon_neu[[#This Row],[Masse '[kg/m²'] Referenz]]</f>
        <v>0</v>
      </c>
      <c r="AM54" s="70">
        <f>_xlfn.XLOOKUP(Baukon_neu[[#This Row],[LCA Datensatz]],LeitRess_Materialien[Material_UUID],LeitRess_Materialien[GWP '[kg CO2-Äqu./kg']])*Baukon_neu[[#This Row],[Masse '[kg/m²'] min]]</f>
        <v>0</v>
      </c>
      <c r="AN54" s="70">
        <f>_xlfn.XLOOKUP(Baukon_neu[[#This Row],[LCA Datensatz]],LeitRess_Materialien[Material_UUID],LeitRess_Materialien[GWP '[kg CO2-Äqu./kg']])*Baukon_neu[[#This Row],[Masse '[kg/m²'] max]]</f>
        <v>0</v>
      </c>
      <c r="AO54" s="70">
        <f>_xlfn.XLOOKUP(Baukon_neu[[#This Row],[LCA Datensatz]],LeitRess_Materialien[Material_UUID],LeitRess_Materialien[PENRT '[MJ/kg']])*Baukon_neu[[#This Row],[Masse '[kg/m²'] Referenz]]</f>
        <v>0</v>
      </c>
      <c r="AP54" s="70">
        <f>_xlfn.XLOOKUP(Baukon_neu[[#This Row],[LCA Datensatz]],LeitRess_Materialien[Material_UUID],LeitRess_Materialien[PENRT '[MJ/kg']])*Baukon_neu[[#This Row],[Masse '[kg/m²'] min]]</f>
        <v>0</v>
      </c>
      <c r="AQ54" s="70">
        <f>_xlfn.XLOOKUP(Baukon_neu[[#This Row],[LCA Datensatz]],LeitRess_Materialien[Material_UUID],LeitRess_Materialien[PENRT '[MJ/kg']])*Baukon_neu[[#This Row],[Masse '[kg/m²'] max]]</f>
        <v>0</v>
      </c>
      <c r="AR54" s="70" t="e">
        <f>_xlfn.XLOOKUP(Baukon_neu[[#This Row],[LCA Datensatz]],LeitRess_Materialien[Material_UUID],#REF!)*Baukon_neu[[#This Row],[Masse '[kg/m²'] Referenz]]</f>
        <v>#REF!</v>
      </c>
      <c r="AS54" s="70" t="e">
        <f>_xlfn.XLOOKUP(Baukon_neu[[#This Row],[LCA Datensatz]],LeitRess_Materialien[Material_UUID],#REF!)*Baukon_neu[[#This Row],[Masse '[kg/m²'] min]]</f>
        <v>#REF!</v>
      </c>
      <c r="AT54" s="70" t="e">
        <f>_xlfn.XLOOKUP(Baukon_neu[[#This Row],[LCA Datensatz]],LeitRess_Materialien[Material_UUID],#REF!)*Baukon_neu[[#This Row],[Masse '[kg/m²'] max]]</f>
        <v>#REF!</v>
      </c>
      <c r="AU54" s="70">
        <f>_xlfn.XLOOKUP(Baukon_neu[[#This Row],[LCA Datensatz]],LeitRess_Materialien[Material_UUID],LeitRess_Materialien[WDP '[m³ weighted water/kg']])*Baukon_neu[[#This Row],[Masse '[kg/m²'] Referenz]]</f>
        <v>0</v>
      </c>
      <c r="AV54" s="70">
        <f>_xlfn.XLOOKUP(Baukon_neu[[#This Row],[LCA Datensatz]],LeitRess_Materialien[Material_UUID],LeitRess_Materialien[WDP '[m³ weighted water/kg']])*Baukon_neu[[#This Row],[Masse '[kg/m²'] min]]</f>
        <v>0</v>
      </c>
      <c r="AW54" s="70">
        <f>_xlfn.XLOOKUP(Baukon_neu[[#This Row],[LCA Datensatz]],LeitRess_Materialien[Material_UUID],LeitRess_Materialien[WDP '[m³ weighted water/kg']])*Baukon_neu[[#This Row],[Masse '[kg/m²'] max]]</f>
        <v>0</v>
      </c>
      <c r="AX54" s="108">
        <f>Baukon_neu[[#This Row],[GWP '[kg CO2-Äqu./m²'] Referenz]]/'Ausgabe Tabellen'!$C$21+Baukon_neu[[#This Row],[PENRT '[MJ/m²'] Referenz]]/'Ausgabe Tabellen'!$C$22+Baukon_neu[[#This Row],[RMI '[kg Primärrohstoffe/m²'] Referenz]]/'Ausgabe Tabellen'!$C$23+Baukon_neu[[#This Row],[WDP '[m² weighted water/m²'] Referenz]]/'Ausgabe Tabellen'!$C$24</f>
        <v>0</v>
      </c>
      <c r="AY54" s="108">
        <f>Baukon_neu[[#This Row],[GWP '[kg CO2-Äqu./m²'] min]]/'Ausgabe Tabellen'!$C$21+Baukon_neu[[#This Row],[PENRT '[MJ/m²'] min]]/'Ausgabe Tabellen'!$C$22+Baukon_neu[[#This Row],[RMI '[kg Primärrohstoffe/m²'] min]]/'Ausgabe Tabellen'!$C$23+Baukon_neu[[#This Row],[WDP '[m² weighted water/m²'] min]]/'Ausgabe Tabellen'!$C$24</f>
        <v>0</v>
      </c>
      <c r="AZ54" s="108">
        <f>Baukon_neu[[#This Row],[GWP '[kg CO2-Äqu./m²'] max]]/'Ausgabe Tabellen'!$C$21+Baukon_neu[[#This Row],[PENRT '[MJ/m²'] max]]/'Ausgabe Tabellen'!$C$22+Baukon_neu[[#This Row],[RMI '[kg Primärrohstoffe/m²'] max]]/'Ausgabe Tabellen'!$C$23+Baukon_neu[[#This Row],[WDP '[m² weighted water/m²'] max]]/'Ausgabe Tabellen'!$C$24</f>
        <v>0</v>
      </c>
    </row>
    <row r="55" spans="1:52" x14ac:dyDescent="0.65">
      <c r="A55" s="73" t="s">
        <v>244</v>
      </c>
      <c r="B55" s="74"/>
      <c r="C55" s="74"/>
      <c r="D55" s="74"/>
      <c r="E55" s="106" t="str">
        <f>Baukon_neu[[#This Row],[Variante Nummer]]&amp;". "&amp;Baukon_neu[[#This Row],[Name Baukonstruktion]]&amp;" | " &amp;Baukon_neu[[#This Row],[Variante Name]]</f>
        <v xml:space="preserve">.  | </v>
      </c>
      <c r="F55" s="128" t="str">
        <f>IF(IFERROR(_xlfn.XLOOKUP(Baukon_neu[[#This Row],[ID Baukonstruktion]],Baukon_alle_A1_A3_results[ID Baukonstruktion],Baukon_alle_A1_A3_results[ID Baukonstruktion]),"okay")="okay", "okay","Achtung, id wird bereits verwendet")</f>
        <v>okay</v>
      </c>
      <c r="G55" s="75"/>
      <c r="H55" s="73" t="s">
        <v>244</v>
      </c>
      <c r="I55" s="73" t="s">
        <v>244</v>
      </c>
      <c r="J55" s="74"/>
      <c r="K55" s="68">
        <f>IF(Baukon_neu[[#This Row],[ist Dämmstoff?]]="ja",Baukon_neu[[#This Row],[Dicke '[mm'] Referenz]]+_xlfn.XLOOKUP(RIGHT(Baukon_neu[[#Headers],[Dicke '[mm'] min]],3),Dämmstoffvarianten[Variante],Dämmstoffvarianten[Differenz Dämmstoffedicke zu Referenz '[mm']]),Baukon_neu[[#This Row],[Dicke '[mm'] Referenz]])</f>
        <v>0</v>
      </c>
      <c r="L55" s="68">
        <f>IF(Baukon_neu[[#This Row],[ist Dämmstoff?]]="ja",Baukon_neu[[#This Row],[Dicke '[mm'] Referenz]]+_xlfn.XLOOKUP(RIGHT(Baukon_neu[[#Headers],[Dicke '[mm'] max]],3),Dämmstoffvarianten[Variante],Dämmstoffvarianten[Differenz Dämmstoffedicke zu Referenz '[mm']]),Baukon_neu[[#This Row],[Dicke '[mm'] Referenz]])</f>
        <v>0</v>
      </c>
      <c r="M55" s="109">
        <v>1</v>
      </c>
      <c r="N55" s="75"/>
      <c r="O55" s="69">
        <f>IFERROR(Baukon_neu[[#This Row],[Dicke '[mm'] Referenz]]/1000*Baukon_neu[[#This Row],[Flächenanteil '[%']]],"")</f>
        <v>0</v>
      </c>
      <c r="P55" s="69">
        <f>IFERROR(Baukon_neu[[#This Row],[Dicke '[mm'] min]]/1000*Baukon_neu[[#This Row],[Flächenanteil '[%']]],"")</f>
        <v>0</v>
      </c>
      <c r="Q55" s="69">
        <f>IFERROR(Baukon_neu[[#This Row],[Dicke '[mm'] max]]/1000*Baukon_neu[[#This Row],[Flächenanteil '[%']]],"")</f>
        <v>0</v>
      </c>
      <c r="R55" s="77" t="s">
        <v>226</v>
      </c>
      <c r="S55" s="69" t="str">
        <f>IFERROR(_xlfn.XLOOKUP(Baukon_neu[[#This Row],[Produkt]],LeitRess_Materialien[Name],LeitRess_Materialien[Material_UUID]),"")</f>
        <v>0</v>
      </c>
      <c r="T55" s="69">
        <f>IF(OR(Baukon_neu[[#This Row],[Rohdichte '[kg/m³'], Eingabe ]]="", Baukon_neu[[#This Row],[Rohdichte '[kg/m³'], Eingabe ]]="0"),_xlfn.XLOOKUP(Baukon_neu[[#This Row],[LCA Datensatz]],LeitRess_Materialien[Material_UUID],LeitRess_Materialien[Rohdichte_'[kg/m3']]),Baukon_neu[[#This Row],[Rohdichte '[kg/m³'], Eingabe ]])</f>
        <v>0</v>
      </c>
      <c r="U55" s="69">
        <f>IF(OR(Baukon_neu[[#This Row],[Flächengewicht '[kg/m²'], Eingabe ]]="", Baukon_neu[[#This Row],[Flächengewicht '[kg/m²'], Eingabe ]]="0"),_xlfn.XLOOKUP(Baukon_neu[[#This Row],[LCA Datensatz]],LeitRess_Materialien[Material_UUID],LeitRess_Materialien[Flächengewicht_'[kg/m2']]),Baukon_neu[[#This Row],[Flächengewicht '[kg/m²'], Eingabe ]])</f>
        <v>0</v>
      </c>
      <c r="V55" s="69">
        <f>IF(OR(Baukon_neu[[#This Row],[Längengewicht '[kg/m'], Eingabe ]]="", Baukon_neu[[#This Row],[Längengewicht '[kg/m'], Eingabe ]]="0"),_xlfn.XLOOKUP(Baukon_neu[[#This Row],[LCA Datensatz]],LeitRess_Materialien[Material_UUID],LeitRess_Materialien[Längengewicht_'[kg/m']]),Baukon_neu[[#This Row],[Längengewicht '[kg/m'], Eingabe ]])</f>
        <v>0</v>
      </c>
      <c r="W55" s="69">
        <f>IF(OR(Baukon_neu[[#This Row],[lambda_'[W/mK'], Eingabe ]]="", Baukon_neu[[#This Row],[lambda_'[W/mK'], Eingabe ]]="0"),_xlfn.XLOOKUP(Baukon_neu[[#This Row],[LCA Datensatz]],LeitRess_Materialien[Material_UUID],LeitRess_Materialien[lambda_'[W/mK']]),Baukon_neu[[#This Row],[lambda_'[W/mK'], Eingabe ]])</f>
        <v>0</v>
      </c>
      <c r="X55" s="77"/>
      <c r="Y55" s="77"/>
      <c r="Z55" s="77"/>
      <c r="AA55" s="77"/>
      <c r="AB55" s="69">
        <f>IFERROR(
    IF(Baukon_neu[[#This Row],[Länge '[m/m²']]]*Baukon_neu[[#This Row],[Längengewicht '[kg/m']]]&lt;&gt;0, Baukon_neu[[#This Row],[Länge '[m/m²']]]*Baukon_neu[[#This Row],[Längengewicht '[kg/m']]],
       IF( Baukon_neu[[#This Row],[Volumen '[m³/m²'] Referenz]]*Baukon_neu[[#This Row],[Rohdichte '[kg/m³']]]&lt;&gt;0,
        Baukon_neu[[#This Row],[Volumen '[m³/m²'] Referenz]]*Baukon_neu[[#This Row],[Rohdichte '[kg/m³']]],
                Baukon_neu[[#This Row],[Flächenanteil '[%']]]*Baukon_neu[[#This Row],[Flächengewicht '[kg/m²']]])),"")</f>
        <v>0</v>
      </c>
      <c r="AC55" s="69">
        <f>IFERROR(
    IF(Baukon_neu[[#This Row],[Länge '[m/m²']]]*Baukon_neu[[#This Row],[Längengewicht '[kg/m']]]&lt;&gt;0, Baukon_neu[[#This Row],[Länge '[m/m²']]]*Baukon_neu[[#This Row],[Längengewicht '[kg/m']]],
       IF( Baukon_neu[[#This Row],[Volumen '[m³/m²'] min]]*Baukon_neu[[#This Row],[Rohdichte '[kg/m³']]]&lt;&gt;0,
        Baukon_neu[[#This Row],[Volumen '[m³/m²'] min]]*Baukon_neu[[#This Row],[Rohdichte '[kg/m³']]],
                Baukon_neu[[#This Row],[Flächenanteil '[%']]]*Baukon_neu[[#This Row],[Flächengewicht '[kg/m²']]])),"")</f>
        <v>0</v>
      </c>
      <c r="AD55" s="69">
        <f>IFERROR(
    IF(Baukon_neu[[#This Row],[Länge '[m/m²']]]*Baukon_neu[[#This Row],[Längengewicht '[kg/m']]]&lt;&gt;0, Baukon_neu[[#This Row],[Länge '[m/m²']]]*Baukon_neu[[#This Row],[Längengewicht '[kg/m']]],
       IF( Baukon_neu[[#This Row],[Volumen '[m³/m²'] max]]*Baukon_neu[[#This Row],[Rohdichte '[kg/m³']]]&lt;&gt;0,
        Baukon_neu[[#This Row],[Volumen '[m³/m²'] max]]*Baukon_neu[[#This Row],[Rohdichte '[kg/m³']]],
                Baukon_neu[[#This Row],[Flächenanteil '[%']]]*Baukon_neu[[#This Row],[Flächengewicht '[kg/m²']]])),"")</f>
        <v>0</v>
      </c>
      <c r="AE55" s="107" t="str">
        <f>IFERROR(Baukon_neu[[#This Row],[Dicke '[mm'] Referenz]]/Baukon_neu[[#This Row],[lambda_'[W/mK']]],"")</f>
        <v/>
      </c>
      <c r="AF55" s="70">
        <f>_xlfn.XLOOKUP(Baukon_neu[[#This Row],[LCA Datensatz]],LeitRess_Materialien[Material_UUID],LeitRess_Materialien[RMI '[kg Primärrohstoffe / kg']])*Baukon_neu[[#This Row],[Masse '[kg/m²'] Referenz]]</f>
        <v>0</v>
      </c>
      <c r="AG55" s="70">
        <f>_xlfn.XLOOKUP(Baukon_neu[[#This Row],[LCA Datensatz]],LeitRess_Materialien[Material_UUID],LeitRess_Materialien[RMI '[kg Primärrohstoffe / kg']])*Baukon_neu[[#This Row],[Masse '[kg/m²'] min]]</f>
        <v>0</v>
      </c>
      <c r="AH55" s="70">
        <f>_xlfn.XLOOKUP(Baukon_neu[[#This Row],[LCA Datensatz]],LeitRess_Materialien[Material_UUID],LeitRess_Materialien[RMI '[kg Primärrohstoffe / kg']])*Baukon_neu[[#This Row],[Masse '[kg/m²'] max]]</f>
        <v>0</v>
      </c>
      <c r="AI55" s="70">
        <f>_xlfn.XLOOKUP(Baukon_neu[[#This Row],[LCA Datensatz]],LeitRess_Materialien[Material_UUID],LeitRess_Materialien[TMR '[kg Gesamtmaterialaufwand/kg']])*Baukon_neu[[#This Row],[Masse '[kg/m²'] Referenz]]</f>
        <v>0</v>
      </c>
      <c r="AJ55" s="70">
        <f>_xlfn.XLOOKUP(Baukon_neu[[#This Row],[LCA Datensatz]],LeitRess_Materialien[Material_UUID],LeitRess_Materialien[TMR '[kg Gesamtmaterialaufwand/kg']])*Baukon_neu[[#This Row],[Masse '[kg/m²'] min]]</f>
        <v>0</v>
      </c>
      <c r="AK55" s="70">
        <f>_xlfn.XLOOKUP(Baukon_neu[[#This Row],[LCA Datensatz]],LeitRess_Materialien[Material_UUID],LeitRess_Materialien[TMR '[kg Gesamtmaterialaufwand/kg']])*Baukon_neu[[#This Row],[Masse '[kg/m²'] max]]</f>
        <v>0</v>
      </c>
      <c r="AL55" s="70">
        <f>_xlfn.XLOOKUP(Baukon_neu[[#This Row],[LCA Datensatz]],LeitRess_Materialien[Material_UUID],LeitRess_Materialien[GWP '[kg CO2-Äqu./kg']])*Baukon_neu[[#This Row],[Masse '[kg/m²'] Referenz]]</f>
        <v>0</v>
      </c>
      <c r="AM55" s="70">
        <f>_xlfn.XLOOKUP(Baukon_neu[[#This Row],[LCA Datensatz]],LeitRess_Materialien[Material_UUID],LeitRess_Materialien[GWP '[kg CO2-Äqu./kg']])*Baukon_neu[[#This Row],[Masse '[kg/m²'] min]]</f>
        <v>0</v>
      </c>
      <c r="AN55" s="70">
        <f>_xlfn.XLOOKUP(Baukon_neu[[#This Row],[LCA Datensatz]],LeitRess_Materialien[Material_UUID],LeitRess_Materialien[GWP '[kg CO2-Äqu./kg']])*Baukon_neu[[#This Row],[Masse '[kg/m²'] max]]</f>
        <v>0</v>
      </c>
      <c r="AO55" s="70">
        <f>_xlfn.XLOOKUP(Baukon_neu[[#This Row],[LCA Datensatz]],LeitRess_Materialien[Material_UUID],LeitRess_Materialien[PENRT '[MJ/kg']])*Baukon_neu[[#This Row],[Masse '[kg/m²'] Referenz]]</f>
        <v>0</v>
      </c>
      <c r="AP55" s="70">
        <f>_xlfn.XLOOKUP(Baukon_neu[[#This Row],[LCA Datensatz]],LeitRess_Materialien[Material_UUID],LeitRess_Materialien[PENRT '[MJ/kg']])*Baukon_neu[[#This Row],[Masse '[kg/m²'] min]]</f>
        <v>0</v>
      </c>
      <c r="AQ55" s="70">
        <f>_xlfn.XLOOKUP(Baukon_neu[[#This Row],[LCA Datensatz]],LeitRess_Materialien[Material_UUID],LeitRess_Materialien[PENRT '[MJ/kg']])*Baukon_neu[[#This Row],[Masse '[kg/m²'] max]]</f>
        <v>0</v>
      </c>
      <c r="AR55" s="70" t="e">
        <f>_xlfn.XLOOKUP(Baukon_neu[[#This Row],[LCA Datensatz]],LeitRess_Materialien[Material_UUID],#REF!)*Baukon_neu[[#This Row],[Masse '[kg/m²'] Referenz]]</f>
        <v>#REF!</v>
      </c>
      <c r="AS55" s="70" t="e">
        <f>_xlfn.XLOOKUP(Baukon_neu[[#This Row],[LCA Datensatz]],LeitRess_Materialien[Material_UUID],#REF!)*Baukon_neu[[#This Row],[Masse '[kg/m²'] min]]</f>
        <v>#REF!</v>
      </c>
      <c r="AT55" s="70" t="e">
        <f>_xlfn.XLOOKUP(Baukon_neu[[#This Row],[LCA Datensatz]],LeitRess_Materialien[Material_UUID],#REF!)*Baukon_neu[[#This Row],[Masse '[kg/m²'] max]]</f>
        <v>#REF!</v>
      </c>
      <c r="AU55" s="70">
        <f>_xlfn.XLOOKUP(Baukon_neu[[#This Row],[LCA Datensatz]],LeitRess_Materialien[Material_UUID],LeitRess_Materialien[WDP '[m³ weighted water/kg']])*Baukon_neu[[#This Row],[Masse '[kg/m²'] Referenz]]</f>
        <v>0</v>
      </c>
      <c r="AV55" s="70">
        <f>_xlfn.XLOOKUP(Baukon_neu[[#This Row],[LCA Datensatz]],LeitRess_Materialien[Material_UUID],LeitRess_Materialien[WDP '[m³ weighted water/kg']])*Baukon_neu[[#This Row],[Masse '[kg/m²'] min]]</f>
        <v>0</v>
      </c>
      <c r="AW55" s="70">
        <f>_xlfn.XLOOKUP(Baukon_neu[[#This Row],[LCA Datensatz]],LeitRess_Materialien[Material_UUID],LeitRess_Materialien[WDP '[m³ weighted water/kg']])*Baukon_neu[[#This Row],[Masse '[kg/m²'] max]]</f>
        <v>0</v>
      </c>
      <c r="AX55" s="108">
        <f>Baukon_neu[[#This Row],[GWP '[kg CO2-Äqu./m²'] Referenz]]/'Ausgabe Tabellen'!$C$21+Baukon_neu[[#This Row],[PENRT '[MJ/m²'] Referenz]]/'Ausgabe Tabellen'!$C$22+Baukon_neu[[#This Row],[RMI '[kg Primärrohstoffe/m²'] Referenz]]/'Ausgabe Tabellen'!$C$23+Baukon_neu[[#This Row],[WDP '[m² weighted water/m²'] Referenz]]/'Ausgabe Tabellen'!$C$24</f>
        <v>0</v>
      </c>
      <c r="AY55" s="108">
        <f>Baukon_neu[[#This Row],[GWP '[kg CO2-Äqu./m²'] min]]/'Ausgabe Tabellen'!$C$21+Baukon_neu[[#This Row],[PENRT '[MJ/m²'] min]]/'Ausgabe Tabellen'!$C$22+Baukon_neu[[#This Row],[RMI '[kg Primärrohstoffe/m²'] min]]/'Ausgabe Tabellen'!$C$23+Baukon_neu[[#This Row],[WDP '[m² weighted water/m²'] min]]/'Ausgabe Tabellen'!$C$24</f>
        <v>0</v>
      </c>
      <c r="AZ55" s="108">
        <f>Baukon_neu[[#This Row],[GWP '[kg CO2-Äqu./m²'] max]]/'Ausgabe Tabellen'!$C$21+Baukon_neu[[#This Row],[PENRT '[MJ/m²'] max]]/'Ausgabe Tabellen'!$C$22+Baukon_neu[[#This Row],[RMI '[kg Primärrohstoffe/m²'] max]]/'Ausgabe Tabellen'!$C$23+Baukon_neu[[#This Row],[WDP '[m² weighted water/m²'] max]]/'Ausgabe Tabellen'!$C$24</f>
        <v>0</v>
      </c>
    </row>
    <row r="56" spans="1:52" x14ac:dyDescent="0.65">
      <c r="A56" s="73" t="s">
        <v>244</v>
      </c>
      <c r="B56" s="74"/>
      <c r="C56" s="74"/>
      <c r="D56" s="74"/>
      <c r="E56" s="106" t="str">
        <f>Baukon_neu[[#This Row],[Variante Nummer]]&amp;". "&amp;Baukon_neu[[#This Row],[Name Baukonstruktion]]&amp;" | " &amp;Baukon_neu[[#This Row],[Variante Name]]</f>
        <v xml:space="preserve">.  | </v>
      </c>
      <c r="F56" s="128" t="str">
        <f>IF(IFERROR(_xlfn.XLOOKUP(Baukon_neu[[#This Row],[ID Baukonstruktion]],Baukon_alle_A1_A3_results[ID Baukonstruktion],Baukon_alle_A1_A3_results[ID Baukonstruktion]),"okay")="okay", "okay","Achtung, id wird bereits verwendet")</f>
        <v>okay</v>
      </c>
      <c r="G56" s="75"/>
      <c r="H56" s="73" t="s">
        <v>244</v>
      </c>
      <c r="I56" s="73" t="s">
        <v>244</v>
      </c>
      <c r="J56" s="74"/>
      <c r="K56" s="68">
        <f>IF(Baukon_neu[[#This Row],[ist Dämmstoff?]]="ja",Baukon_neu[[#This Row],[Dicke '[mm'] Referenz]]+_xlfn.XLOOKUP(RIGHT(Baukon_neu[[#Headers],[Dicke '[mm'] min]],3),Dämmstoffvarianten[Variante],Dämmstoffvarianten[Differenz Dämmstoffedicke zu Referenz '[mm']]),Baukon_neu[[#This Row],[Dicke '[mm'] Referenz]])</f>
        <v>0</v>
      </c>
      <c r="L56" s="68">
        <f>IF(Baukon_neu[[#This Row],[ist Dämmstoff?]]="ja",Baukon_neu[[#This Row],[Dicke '[mm'] Referenz]]+_xlfn.XLOOKUP(RIGHT(Baukon_neu[[#Headers],[Dicke '[mm'] max]],3),Dämmstoffvarianten[Variante],Dämmstoffvarianten[Differenz Dämmstoffedicke zu Referenz '[mm']]),Baukon_neu[[#This Row],[Dicke '[mm'] Referenz]])</f>
        <v>0</v>
      </c>
      <c r="M56" s="109">
        <v>1</v>
      </c>
      <c r="N56" s="75"/>
      <c r="O56" s="69">
        <f>IFERROR(Baukon_neu[[#This Row],[Dicke '[mm'] Referenz]]/1000*Baukon_neu[[#This Row],[Flächenanteil '[%']]],"")</f>
        <v>0</v>
      </c>
      <c r="P56" s="69">
        <f>IFERROR(Baukon_neu[[#This Row],[Dicke '[mm'] min]]/1000*Baukon_neu[[#This Row],[Flächenanteil '[%']]],"")</f>
        <v>0</v>
      </c>
      <c r="Q56" s="69">
        <f>IFERROR(Baukon_neu[[#This Row],[Dicke '[mm'] max]]/1000*Baukon_neu[[#This Row],[Flächenanteil '[%']]],"")</f>
        <v>0</v>
      </c>
      <c r="R56" s="77" t="s">
        <v>226</v>
      </c>
      <c r="S56" s="69" t="str">
        <f>IFERROR(_xlfn.XLOOKUP(Baukon_neu[[#This Row],[Produkt]],LeitRess_Materialien[Name],LeitRess_Materialien[Material_UUID]),"")</f>
        <v>0</v>
      </c>
      <c r="T56" s="69">
        <f>IF(OR(Baukon_neu[[#This Row],[Rohdichte '[kg/m³'], Eingabe ]]="", Baukon_neu[[#This Row],[Rohdichte '[kg/m³'], Eingabe ]]="0"),_xlfn.XLOOKUP(Baukon_neu[[#This Row],[LCA Datensatz]],LeitRess_Materialien[Material_UUID],LeitRess_Materialien[Rohdichte_'[kg/m3']]),Baukon_neu[[#This Row],[Rohdichte '[kg/m³'], Eingabe ]])</f>
        <v>0</v>
      </c>
      <c r="U56" s="69">
        <f>IF(OR(Baukon_neu[[#This Row],[Flächengewicht '[kg/m²'], Eingabe ]]="", Baukon_neu[[#This Row],[Flächengewicht '[kg/m²'], Eingabe ]]="0"),_xlfn.XLOOKUP(Baukon_neu[[#This Row],[LCA Datensatz]],LeitRess_Materialien[Material_UUID],LeitRess_Materialien[Flächengewicht_'[kg/m2']]),Baukon_neu[[#This Row],[Flächengewicht '[kg/m²'], Eingabe ]])</f>
        <v>0</v>
      </c>
      <c r="V56" s="69">
        <f>IF(OR(Baukon_neu[[#This Row],[Längengewicht '[kg/m'], Eingabe ]]="", Baukon_neu[[#This Row],[Längengewicht '[kg/m'], Eingabe ]]="0"),_xlfn.XLOOKUP(Baukon_neu[[#This Row],[LCA Datensatz]],LeitRess_Materialien[Material_UUID],LeitRess_Materialien[Längengewicht_'[kg/m']]),Baukon_neu[[#This Row],[Längengewicht '[kg/m'], Eingabe ]])</f>
        <v>0</v>
      </c>
      <c r="W56" s="69">
        <f>IF(OR(Baukon_neu[[#This Row],[lambda_'[W/mK'], Eingabe ]]="", Baukon_neu[[#This Row],[lambda_'[W/mK'], Eingabe ]]="0"),_xlfn.XLOOKUP(Baukon_neu[[#This Row],[LCA Datensatz]],LeitRess_Materialien[Material_UUID],LeitRess_Materialien[lambda_'[W/mK']]),Baukon_neu[[#This Row],[lambda_'[W/mK'], Eingabe ]])</f>
        <v>0</v>
      </c>
      <c r="X56" s="77"/>
      <c r="Y56" s="77"/>
      <c r="Z56" s="77"/>
      <c r="AA56" s="77"/>
      <c r="AB56" s="69">
        <f>IFERROR(
    IF(Baukon_neu[[#This Row],[Länge '[m/m²']]]*Baukon_neu[[#This Row],[Längengewicht '[kg/m']]]&lt;&gt;0, Baukon_neu[[#This Row],[Länge '[m/m²']]]*Baukon_neu[[#This Row],[Längengewicht '[kg/m']]],
       IF( Baukon_neu[[#This Row],[Volumen '[m³/m²'] Referenz]]*Baukon_neu[[#This Row],[Rohdichte '[kg/m³']]]&lt;&gt;0,
        Baukon_neu[[#This Row],[Volumen '[m³/m²'] Referenz]]*Baukon_neu[[#This Row],[Rohdichte '[kg/m³']]],
                Baukon_neu[[#This Row],[Flächenanteil '[%']]]*Baukon_neu[[#This Row],[Flächengewicht '[kg/m²']]])),"")</f>
        <v>0</v>
      </c>
      <c r="AC56" s="69">
        <f>IFERROR(
    IF(Baukon_neu[[#This Row],[Länge '[m/m²']]]*Baukon_neu[[#This Row],[Längengewicht '[kg/m']]]&lt;&gt;0, Baukon_neu[[#This Row],[Länge '[m/m²']]]*Baukon_neu[[#This Row],[Längengewicht '[kg/m']]],
       IF( Baukon_neu[[#This Row],[Volumen '[m³/m²'] min]]*Baukon_neu[[#This Row],[Rohdichte '[kg/m³']]]&lt;&gt;0,
        Baukon_neu[[#This Row],[Volumen '[m³/m²'] min]]*Baukon_neu[[#This Row],[Rohdichte '[kg/m³']]],
                Baukon_neu[[#This Row],[Flächenanteil '[%']]]*Baukon_neu[[#This Row],[Flächengewicht '[kg/m²']]])),"")</f>
        <v>0</v>
      </c>
      <c r="AD56" s="69">
        <f>IFERROR(
    IF(Baukon_neu[[#This Row],[Länge '[m/m²']]]*Baukon_neu[[#This Row],[Längengewicht '[kg/m']]]&lt;&gt;0, Baukon_neu[[#This Row],[Länge '[m/m²']]]*Baukon_neu[[#This Row],[Längengewicht '[kg/m']]],
       IF( Baukon_neu[[#This Row],[Volumen '[m³/m²'] max]]*Baukon_neu[[#This Row],[Rohdichte '[kg/m³']]]&lt;&gt;0,
        Baukon_neu[[#This Row],[Volumen '[m³/m²'] max]]*Baukon_neu[[#This Row],[Rohdichte '[kg/m³']]],
                Baukon_neu[[#This Row],[Flächenanteil '[%']]]*Baukon_neu[[#This Row],[Flächengewicht '[kg/m²']]])),"")</f>
        <v>0</v>
      </c>
      <c r="AE56" s="107" t="str">
        <f>IFERROR(Baukon_neu[[#This Row],[Dicke '[mm'] Referenz]]/Baukon_neu[[#This Row],[lambda_'[W/mK']]],"")</f>
        <v/>
      </c>
      <c r="AF56" s="70">
        <f>_xlfn.XLOOKUP(Baukon_neu[[#This Row],[LCA Datensatz]],LeitRess_Materialien[Material_UUID],LeitRess_Materialien[RMI '[kg Primärrohstoffe / kg']])*Baukon_neu[[#This Row],[Masse '[kg/m²'] Referenz]]</f>
        <v>0</v>
      </c>
      <c r="AG56" s="70">
        <f>_xlfn.XLOOKUP(Baukon_neu[[#This Row],[LCA Datensatz]],LeitRess_Materialien[Material_UUID],LeitRess_Materialien[RMI '[kg Primärrohstoffe / kg']])*Baukon_neu[[#This Row],[Masse '[kg/m²'] min]]</f>
        <v>0</v>
      </c>
      <c r="AH56" s="70">
        <f>_xlfn.XLOOKUP(Baukon_neu[[#This Row],[LCA Datensatz]],LeitRess_Materialien[Material_UUID],LeitRess_Materialien[RMI '[kg Primärrohstoffe / kg']])*Baukon_neu[[#This Row],[Masse '[kg/m²'] max]]</f>
        <v>0</v>
      </c>
      <c r="AI56" s="70">
        <f>_xlfn.XLOOKUP(Baukon_neu[[#This Row],[LCA Datensatz]],LeitRess_Materialien[Material_UUID],LeitRess_Materialien[TMR '[kg Gesamtmaterialaufwand/kg']])*Baukon_neu[[#This Row],[Masse '[kg/m²'] Referenz]]</f>
        <v>0</v>
      </c>
      <c r="AJ56" s="70">
        <f>_xlfn.XLOOKUP(Baukon_neu[[#This Row],[LCA Datensatz]],LeitRess_Materialien[Material_UUID],LeitRess_Materialien[TMR '[kg Gesamtmaterialaufwand/kg']])*Baukon_neu[[#This Row],[Masse '[kg/m²'] min]]</f>
        <v>0</v>
      </c>
      <c r="AK56" s="70">
        <f>_xlfn.XLOOKUP(Baukon_neu[[#This Row],[LCA Datensatz]],LeitRess_Materialien[Material_UUID],LeitRess_Materialien[TMR '[kg Gesamtmaterialaufwand/kg']])*Baukon_neu[[#This Row],[Masse '[kg/m²'] max]]</f>
        <v>0</v>
      </c>
      <c r="AL56" s="70">
        <f>_xlfn.XLOOKUP(Baukon_neu[[#This Row],[LCA Datensatz]],LeitRess_Materialien[Material_UUID],LeitRess_Materialien[GWP '[kg CO2-Äqu./kg']])*Baukon_neu[[#This Row],[Masse '[kg/m²'] Referenz]]</f>
        <v>0</v>
      </c>
      <c r="AM56" s="70">
        <f>_xlfn.XLOOKUP(Baukon_neu[[#This Row],[LCA Datensatz]],LeitRess_Materialien[Material_UUID],LeitRess_Materialien[GWP '[kg CO2-Äqu./kg']])*Baukon_neu[[#This Row],[Masse '[kg/m²'] min]]</f>
        <v>0</v>
      </c>
      <c r="AN56" s="70">
        <f>_xlfn.XLOOKUP(Baukon_neu[[#This Row],[LCA Datensatz]],LeitRess_Materialien[Material_UUID],LeitRess_Materialien[GWP '[kg CO2-Äqu./kg']])*Baukon_neu[[#This Row],[Masse '[kg/m²'] max]]</f>
        <v>0</v>
      </c>
      <c r="AO56" s="70">
        <f>_xlfn.XLOOKUP(Baukon_neu[[#This Row],[LCA Datensatz]],LeitRess_Materialien[Material_UUID],LeitRess_Materialien[PENRT '[MJ/kg']])*Baukon_neu[[#This Row],[Masse '[kg/m²'] Referenz]]</f>
        <v>0</v>
      </c>
      <c r="AP56" s="70">
        <f>_xlfn.XLOOKUP(Baukon_neu[[#This Row],[LCA Datensatz]],LeitRess_Materialien[Material_UUID],LeitRess_Materialien[PENRT '[MJ/kg']])*Baukon_neu[[#This Row],[Masse '[kg/m²'] min]]</f>
        <v>0</v>
      </c>
      <c r="AQ56" s="70">
        <f>_xlfn.XLOOKUP(Baukon_neu[[#This Row],[LCA Datensatz]],LeitRess_Materialien[Material_UUID],LeitRess_Materialien[PENRT '[MJ/kg']])*Baukon_neu[[#This Row],[Masse '[kg/m²'] max]]</f>
        <v>0</v>
      </c>
      <c r="AR56" s="70" t="e">
        <f>_xlfn.XLOOKUP(Baukon_neu[[#This Row],[LCA Datensatz]],LeitRess_Materialien[Material_UUID],#REF!)*Baukon_neu[[#This Row],[Masse '[kg/m²'] Referenz]]</f>
        <v>#REF!</v>
      </c>
      <c r="AS56" s="70" t="e">
        <f>_xlfn.XLOOKUP(Baukon_neu[[#This Row],[LCA Datensatz]],LeitRess_Materialien[Material_UUID],#REF!)*Baukon_neu[[#This Row],[Masse '[kg/m²'] min]]</f>
        <v>#REF!</v>
      </c>
      <c r="AT56" s="70" t="e">
        <f>_xlfn.XLOOKUP(Baukon_neu[[#This Row],[LCA Datensatz]],LeitRess_Materialien[Material_UUID],#REF!)*Baukon_neu[[#This Row],[Masse '[kg/m²'] max]]</f>
        <v>#REF!</v>
      </c>
      <c r="AU56" s="70">
        <f>_xlfn.XLOOKUP(Baukon_neu[[#This Row],[LCA Datensatz]],LeitRess_Materialien[Material_UUID],LeitRess_Materialien[WDP '[m³ weighted water/kg']])*Baukon_neu[[#This Row],[Masse '[kg/m²'] Referenz]]</f>
        <v>0</v>
      </c>
      <c r="AV56" s="70">
        <f>_xlfn.XLOOKUP(Baukon_neu[[#This Row],[LCA Datensatz]],LeitRess_Materialien[Material_UUID],LeitRess_Materialien[WDP '[m³ weighted water/kg']])*Baukon_neu[[#This Row],[Masse '[kg/m²'] min]]</f>
        <v>0</v>
      </c>
      <c r="AW56" s="70">
        <f>_xlfn.XLOOKUP(Baukon_neu[[#This Row],[LCA Datensatz]],LeitRess_Materialien[Material_UUID],LeitRess_Materialien[WDP '[m³ weighted water/kg']])*Baukon_neu[[#This Row],[Masse '[kg/m²'] max]]</f>
        <v>0</v>
      </c>
      <c r="AX56" s="108">
        <f>Baukon_neu[[#This Row],[GWP '[kg CO2-Äqu./m²'] Referenz]]/'Ausgabe Tabellen'!$C$21+Baukon_neu[[#This Row],[PENRT '[MJ/m²'] Referenz]]/'Ausgabe Tabellen'!$C$22+Baukon_neu[[#This Row],[RMI '[kg Primärrohstoffe/m²'] Referenz]]/'Ausgabe Tabellen'!$C$23+Baukon_neu[[#This Row],[WDP '[m² weighted water/m²'] Referenz]]/'Ausgabe Tabellen'!$C$24</f>
        <v>0</v>
      </c>
      <c r="AY56" s="108">
        <f>Baukon_neu[[#This Row],[GWP '[kg CO2-Äqu./m²'] min]]/'Ausgabe Tabellen'!$C$21+Baukon_neu[[#This Row],[PENRT '[MJ/m²'] min]]/'Ausgabe Tabellen'!$C$22+Baukon_neu[[#This Row],[RMI '[kg Primärrohstoffe/m²'] min]]/'Ausgabe Tabellen'!$C$23+Baukon_neu[[#This Row],[WDP '[m² weighted water/m²'] min]]/'Ausgabe Tabellen'!$C$24</f>
        <v>0</v>
      </c>
      <c r="AZ56" s="108">
        <f>Baukon_neu[[#This Row],[GWP '[kg CO2-Äqu./m²'] max]]/'Ausgabe Tabellen'!$C$21+Baukon_neu[[#This Row],[PENRT '[MJ/m²'] max]]/'Ausgabe Tabellen'!$C$22+Baukon_neu[[#This Row],[RMI '[kg Primärrohstoffe/m²'] max]]/'Ausgabe Tabellen'!$C$23+Baukon_neu[[#This Row],[WDP '[m² weighted water/m²'] max]]/'Ausgabe Tabellen'!$C$24</f>
        <v>0</v>
      </c>
    </row>
    <row r="57" spans="1:52" x14ac:dyDescent="0.65">
      <c r="A57" s="73" t="s">
        <v>244</v>
      </c>
      <c r="B57" s="74"/>
      <c r="C57" s="74"/>
      <c r="D57" s="74"/>
      <c r="E57" s="106" t="str">
        <f>Baukon_neu[[#This Row],[Variante Nummer]]&amp;". "&amp;Baukon_neu[[#This Row],[Name Baukonstruktion]]&amp;" | " &amp;Baukon_neu[[#This Row],[Variante Name]]</f>
        <v xml:space="preserve">.  | </v>
      </c>
      <c r="F57" s="128" t="str">
        <f>IF(IFERROR(_xlfn.XLOOKUP(Baukon_neu[[#This Row],[ID Baukonstruktion]],Baukon_alle_A1_A3_results[ID Baukonstruktion],Baukon_alle_A1_A3_results[ID Baukonstruktion]),"okay")="okay", "okay","Achtung, id wird bereits verwendet")</f>
        <v>okay</v>
      </c>
      <c r="G57" s="75"/>
      <c r="H57" s="73" t="s">
        <v>244</v>
      </c>
      <c r="I57" s="73" t="s">
        <v>244</v>
      </c>
      <c r="J57" s="74"/>
      <c r="K57" s="68">
        <f>IF(Baukon_neu[[#This Row],[ist Dämmstoff?]]="ja",Baukon_neu[[#This Row],[Dicke '[mm'] Referenz]]+_xlfn.XLOOKUP(RIGHT(Baukon_neu[[#Headers],[Dicke '[mm'] min]],3),Dämmstoffvarianten[Variante],Dämmstoffvarianten[Differenz Dämmstoffedicke zu Referenz '[mm']]),Baukon_neu[[#This Row],[Dicke '[mm'] Referenz]])</f>
        <v>0</v>
      </c>
      <c r="L57" s="68">
        <f>IF(Baukon_neu[[#This Row],[ist Dämmstoff?]]="ja",Baukon_neu[[#This Row],[Dicke '[mm'] Referenz]]+_xlfn.XLOOKUP(RIGHT(Baukon_neu[[#Headers],[Dicke '[mm'] max]],3),Dämmstoffvarianten[Variante],Dämmstoffvarianten[Differenz Dämmstoffedicke zu Referenz '[mm']]),Baukon_neu[[#This Row],[Dicke '[mm'] Referenz]])</f>
        <v>0</v>
      </c>
      <c r="M57" s="109">
        <v>1</v>
      </c>
      <c r="N57" s="75"/>
      <c r="O57" s="69">
        <f>IFERROR(Baukon_neu[[#This Row],[Dicke '[mm'] Referenz]]/1000*Baukon_neu[[#This Row],[Flächenanteil '[%']]],"")</f>
        <v>0</v>
      </c>
      <c r="P57" s="69">
        <f>IFERROR(Baukon_neu[[#This Row],[Dicke '[mm'] min]]/1000*Baukon_neu[[#This Row],[Flächenanteil '[%']]],"")</f>
        <v>0</v>
      </c>
      <c r="Q57" s="69">
        <f>IFERROR(Baukon_neu[[#This Row],[Dicke '[mm'] max]]/1000*Baukon_neu[[#This Row],[Flächenanteil '[%']]],"")</f>
        <v>0</v>
      </c>
      <c r="R57" s="77" t="s">
        <v>226</v>
      </c>
      <c r="S57" s="69" t="str">
        <f>IFERROR(_xlfn.XLOOKUP(Baukon_neu[[#This Row],[Produkt]],LeitRess_Materialien[Name],LeitRess_Materialien[Material_UUID]),"")</f>
        <v>0</v>
      </c>
      <c r="T57" s="69">
        <f>IF(OR(Baukon_neu[[#This Row],[Rohdichte '[kg/m³'], Eingabe ]]="", Baukon_neu[[#This Row],[Rohdichte '[kg/m³'], Eingabe ]]="0"),_xlfn.XLOOKUP(Baukon_neu[[#This Row],[LCA Datensatz]],LeitRess_Materialien[Material_UUID],LeitRess_Materialien[Rohdichte_'[kg/m3']]),Baukon_neu[[#This Row],[Rohdichte '[kg/m³'], Eingabe ]])</f>
        <v>0</v>
      </c>
      <c r="U57" s="69">
        <f>IF(OR(Baukon_neu[[#This Row],[Flächengewicht '[kg/m²'], Eingabe ]]="", Baukon_neu[[#This Row],[Flächengewicht '[kg/m²'], Eingabe ]]="0"),_xlfn.XLOOKUP(Baukon_neu[[#This Row],[LCA Datensatz]],LeitRess_Materialien[Material_UUID],LeitRess_Materialien[Flächengewicht_'[kg/m2']]),Baukon_neu[[#This Row],[Flächengewicht '[kg/m²'], Eingabe ]])</f>
        <v>0</v>
      </c>
      <c r="V57" s="69">
        <f>IF(OR(Baukon_neu[[#This Row],[Längengewicht '[kg/m'], Eingabe ]]="", Baukon_neu[[#This Row],[Längengewicht '[kg/m'], Eingabe ]]="0"),_xlfn.XLOOKUP(Baukon_neu[[#This Row],[LCA Datensatz]],LeitRess_Materialien[Material_UUID],LeitRess_Materialien[Längengewicht_'[kg/m']]),Baukon_neu[[#This Row],[Längengewicht '[kg/m'], Eingabe ]])</f>
        <v>0</v>
      </c>
      <c r="W57" s="69">
        <f>IF(OR(Baukon_neu[[#This Row],[lambda_'[W/mK'], Eingabe ]]="", Baukon_neu[[#This Row],[lambda_'[W/mK'], Eingabe ]]="0"),_xlfn.XLOOKUP(Baukon_neu[[#This Row],[LCA Datensatz]],LeitRess_Materialien[Material_UUID],LeitRess_Materialien[lambda_'[W/mK']]),Baukon_neu[[#This Row],[lambda_'[W/mK'], Eingabe ]])</f>
        <v>0</v>
      </c>
      <c r="X57" s="77"/>
      <c r="Y57" s="77"/>
      <c r="Z57" s="77"/>
      <c r="AA57" s="77"/>
      <c r="AB57" s="69">
        <f>IFERROR(
    IF(Baukon_neu[[#This Row],[Länge '[m/m²']]]*Baukon_neu[[#This Row],[Längengewicht '[kg/m']]]&lt;&gt;0, Baukon_neu[[#This Row],[Länge '[m/m²']]]*Baukon_neu[[#This Row],[Längengewicht '[kg/m']]],
       IF( Baukon_neu[[#This Row],[Volumen '[m³/m²'] Referenz]]*Baukon_neu[[#This Row],[Rohdichte '[kg/m³']]]&lt;&gt;0,
        Baukon_neu[[#This Row],[Volumen '[m³/m²'] Referenz]]*Baukon_neu[[#This Row],[Rohdichte '[kg/m³']]],
                Baukon_neu[[#This Row],[Flächenanteil '[%']]]*Baukon_neu[[#This Row],[Flächengewicht '[kg/m²']]])),"")</f>
        <v>0</v>
      </c>
      <c r="AC57" s="69">
        <f>IFERROR(
    IF(Baukon_neu[[#This Row],[Länge '[m/m²']]]*Baukon_neu[[#This Row],[Längengewicht '[kg/m']]]&lt;&gt;0, Baukon_neu[[#This Row],[Länge '[m/m²']]]*Baukon_neu[[#This Row],[Längengewicht '[kg/m']]],
       IF( Baukon_neu[[#This Row],[Volumen '[m³/m²'] min]]*Baukon_neu[[#This Row],[Rohdichte '[kg/m³']]]&lt;&gt;0,
        Baukon_neu[[#This Row],[Volumen '[m³/m²'] min]]*Baukon_neu[[#This Row],[Rohdichte '[kg/m³']]],
                Baukon_neu[[#This Row],[Flächenanteil '[%']]]*Baukon_neu[[#This Row],[Flächengewicht '[kg/m²']]])),"")</f>
        <v>0</v>
      </c>
      <c r="AD57" s="69">
        <f>IFERROR(
    IF(Baukon_neu[[#This Row],[Länge '[m/m²']]]*Baukon_neu[[#This Row],[Längengewicht '[kg/m']]]&lt;&gt;0, Baukon_neu[[#This Row],[Länge '[m/m²']]]*Baukon_neu[[#This Row],[Längengewicht '[kg/m']]],
       IF( Baukon_neu[[#This Row],[Volumen '[m³/m²'] max]]*Baukon_neu[[#This Row],[Rohdichte '[kg/m³']]]&lt;&gt;0,
        Baukon_neu[[#This Row],[Volumen '[m³/m²'] max]]*Baukon_neu[[#This Row],[Rohdichte '[kg/m³']]],
                Baukon_neu[[#This Row],[Flächenanteil '[%']]]*Baukon_neu[[#This Row],[Flächengewicht '[kg/m²']]])),"")</f>
        <v>0</v>
      </c>
      <c r="AE57" s="107" t="str">
        <f>IFERROR(Baukon_neu[[#This Row],[Dicke '[mm'] Referenz]]/Baukon_neu[[#This Row],[lambda_'[W/mK']]],"")</f>
        <v/>
      </c>
      <c r="AF57" s="70">
        <f>_xlfn.XLOOKUP(Baukon_neu[[#This Row],[LCA Datensatz]],LeitRess_Materialien[Material_UUID],LeitRess_Materialien[RMI '[kg Primärrohstoffe / kg']])*Baukon_neu[[#This Row],[Masse '[kg/m²'] Referenz]]</f>
        <v>0</v>
      </c>
      <c r="AG57" s="70">
        <f>_xlfn.XLOOKUP(Baukon_neu[[#This Row],[LCA Datensatz]],LeitRess_Materialien[Material_UUID],LeitRess_Materialien[RMI '[kg Primärrohstoffe / kg']])*Baukon_neu[[#This Row],[Masse '[kg/m²'] min]]</f>
        <v>0</v>
      </c>
      <c r="AH57" s="70">
        <f>_xlfn.XLOOKUP(Baukon_neu[[#This Row],[LCA Datensatz]],LeitRess_Materialien[Material_UUID],LeitRess_Materialien[RMI '[kg Primärrohstoffe / kg']])*Baukon_neu[[#This Row],[Masse '[kg/m²'] max]]</f>
        <v>0</v>
      </c>
      <c r="AI57" s="70">
        <f>_xlfn.XLOOKUP(Baukon_neu[[#This Row],[LCA Datensatz]],LeitRess_Materialien[Material_UUID],LeitRess_Materialien[TMR '[kg Gesamtmaterialaufwand/kg']])*Baukon_neu[[#This Row],[Masse '[kg/m²'] Referenz]]</f>
        <v>0</v>
      </c>
      <c r="AJ57" s="70">
        <f>_xlfn.XLOOKUP(Baukon_neu[[#This Row],[LCA Datensatz]],LeitRess_Materialien[Material_UUID],LeitRess_Materialien[TMR '[kg Gesamtmaterialaufwand/kg']])*Baukon_neu[[#This Row],[Masse '[kg/m²'] min]]</f>
        <v>0</v>
      </c>
      <c r="AK57" s="70">
        <f>_xlfn.XLOOKUP(Baukon_neu[[#This Row],[LCA Datensatz]],LeitRess_Materialien[Material_UUID],LeitRess_Materialien[TMR '[kg Gesamtmaterialaufwand/kg']])*Baukon_neu[[#This Row],[Masse '[kg/m²'] max]]</f>
        <v>0</v>
      </c>
      <c r="AL57" s="70">
        <f>_xlfn.XLOOKUP(Baukon_neu[[#This Row],[LCA Datensatz]],LeitRess_Materialien[Material_UUID],LeitRess_Materialien[GWP '[kg CO2-Äqu./kg']])*Baukon_neu[[#This Row],[Masse '[kg/m²'] Referenz]]</f>
        <v>0</v>
      </c>
      <c r="AM57" s="70">
        <f>_xlfn.XLOOKUP(Baukon_neu[[#This Row],[LCA Datensatz]],LeitRess_Materialien[Material_UUID],LeitRess_Materialien[GWP '[kg CO2-Äqu./kg']])*Baukon_neu[[#This Row],[Masse '[kg/m²'] min]]</f>
        <v>0</v>
      </c>
      <c r="AN57" s="70">
        <f>_xlfn.XLOOKUP(Baukon_neu[[#This Row],[LCA Datensatz]],LeitRess_Materialien[Material_UUID],LeitRess_Materialien[GWP '[kg CO2-Äqu./kg']])*Baukon_neu[[#This Row],[Masse '[kg/m²'] max]]</f>
        <v>0</v>
      </c>
      <c r="AO57" s="70">
        <f>_xlfn.XLOOKUP(Baukon_neu[[#This Row],[LCA Datensatz]],LeitRess_Materialien[Material_UUID],LeitRess_Materialien[PENRT '[MJ/kg']])*Baukon_neu[[#This Row],[Masse '[kg/m²'] Referenz]]</f>
        <v>0</v>
      </c>
      <c r="AP57" s="70">
        <f>_xlfn.XLOOKUP(Baukon_neu[[#This Row],[LCA Datensatz]],LeitRess_Materialien[Material_UUID],LeitRess_Materialien[PENRT '[MJ/kg']])*Baukon_neu[[#This Row],[Masse '[kg/m²'] min]]</f>
        <v>0</v>
      </c>
      <c r="AQ57" s="70">
        <f>_xlfn.XLOOKUP(Baukon_neu[[#This Row],[LCA Datensatz]],LeitRess_Materialien[Material_UUID],LeitRess_Materialien[PENRT '[MJ/kg']])*Baukon_neu[[#This Row],[Masse '[kg/m²'] max]]</f>
        <v>0</v>
      </c>
      <c r="AR57" s="70" t="e">
        <f>_xlfn.XLOOKUP(Baukon_neu[[#This Row],[LCA Datensatz]],LeitRess_Materialien[Material_UUID],#REF!)*Baukon_neu[[#This Row],[Masse '[kg/m²'] Referenz]]</f>
        <v>#REF!</v>
      </c>
      <c r="AS57" s="70" t="e">
        <f>_xlfn.XLOOKUP(Baukon_neu[[#This Row],[LCA Datensatz]],LeitRess_Materialien[Material_UUID],#REF!)*Baukon_neu[[#This Row],[Masse '[kg/m²'] min]]</f>
        <v>#REF!</v>
      </c>
      <c r="AT57" s="70" t="e">
        <f>_xlfn.XLOOKUP(Baukon_neu[[#This Row],[LCA Datensatz]],LeitRess_Materialien[Material_UUID],#REF!)*Baukon_neu[[#This Row],[Masse '[kg/m²'] max]]</f>
        <v>#REF!</v>
      </c>
      <c r="AU57" s="70">
        <f>_xlfn.XLOOKUP(Baukon_neu[[#This Row],[LCA Datensatz]],LeitRess_Materialien[Material_UUID],LeitRess_Materialien[WDP '[m³ weighted water/kg']])*Baukon_neu[[#This Row],[Masse '[kg/m²'] Referenz]]</f>
        <v>0</v>
      </c>
      <c r="AV57" s="70">
        <f>_xlfn.XLOOKUP(Baukon_neu[[#This Row],[LCA Datensatz]],LeitRess_Materialien[Material_UUID],LeitRess_Materialien[WDP '[m³ weighted water/kg']])*Baukon_neu[[#This Row],[Masse '[kg/m²'] min]]</f>
        <v>0</v>
      </c>
      <c r="AW57" s="70">
        <f>_xlfn.XLOOKUP(Baukon_neu[[#This Row],[LCA Datensatz]],LeitRess_Materialien[Material_UUID],LeitRess_Materialien[WDP '[m³ weighted water/kg']])*Baukon_neu[[#This Row],[Masse '[kg/m²'] max]]</f>
        <v>0</v>
      </c>
      <c r="AX57" s="108">
        <f>Baukon_neu[[#This Row],[GWP '[kg CO2-Äqu./m²'] Referenz]]/'Ausgabe Tabellen'!$C$21+Baukon_neu[[#This Row],[PENRT '[MJ/m²'] Referenz]]/'Ausgabe Tabellen'!$C$22+Baukon_neu[[#This Row],[RMI '[kg Primärrohstoffe/m²'] Referenz]]/'Ausgabe Tabellen'!$C$23+Baukon_neu[[#This Row],[WDP '[m² weighted water/m²'] Referenz]]/'Ausgabe Tabellen'!$C$24</f>
        <v>0</v>
      </c>
      <c r="AY57" s="108">
        <f>Baukon_neu[[#This Row],[GWP '[kg CO2-Äqu./m²'] min]]/'Ausgabe Tabellen'!$C$21+Baukon_neu[[#This Row],[PENRT '[MJ/m²'] min]]/'Ausgabe Tabellen'!$C$22+Baukon_neu[[#This Row],[RMI '[kg Primärrohstoffe/m²'] min]]/'Ausgabe Tabellen'!$C$23+Baukon_neu[[#This Row],[WDP '[m² weighted water/m²'] min]]/'Ausgabe Tabellen'!$C$24</f>
        <v>0</v>
      </c>
      <c r="AZ57" s="108">
        <f>Baukon_neu[[#This Row],[GWP '[kg CO2-Äqu./m²'] max]]/'Ausgabe Tabellen'!$C$21+Baukon_neu[[#This Row],[PENRT '[MJ/m²'] max]]/'Ausgabe Tabellen'!$C$22+Baukon_neu[[#This Row],[RMI '[kg Primärrohstoffe/m²'] max]]/'Ausgabe Tabellen'!$C$23+Baukon_neu[[#This Row],[WDP '[m² weighted water/m²'] max]]/'Ausgabe Tabellen'!$C$24</f>
        <v>0</v>
      </c>
    </row>
    <row r="58" spans="1:52" x14ac:dyDescent="0.65">
      <c r="A58" s="73" t="s">
        <v>244</v>
      </c>
      <c r="B58" s="74"/>
      <c r="C58" s="74"/>
      <c r="D58" s="74"/>
      <c r="E58" s="106" t="str">
        <f>Baukon_neu[[#This Row],[Variante Nummer]]&amp;". "&amp;Baukon_neu[[#This Row],[Name Baukonstruktion]]&amp;" | " &amp;Baukon_neu[[#This Row],[Variante Name]]</f>
        <v xml:space="preserve">.  | </v>
      </c>
      <c r="F58" s="128" t="str">
        <f>IF(IFERROR(_xlfn.XLOOKUP(Baukon_neu[[#This Row],[ID Baukonstruktion]],Baukon_alle_A1_A3_results[ID Baukonstruktion],Baukon_alle_A1_A3_results[ID Baukonstruktion]),"okay")="okay", "okay","Achtung, id wird bereits verwendet")</f>
        <v>okay</v>
      </c>
      <c r="G58" s="75"/>
      <c r="H58" s="73" t="s">
        <v>244</v>
      </c>
      <c r="I58" s="73" t="s">
        <v>244</v>
      </c>
      <c r="J58" s="74"/>
      <c r="K58" s="68">
        <f>IF(Baukon_neu[[#This Row],[ist Dämmstoff?]]="ja",Baukon_neu[[#This Row],[Dicke '[mm'] Referenz]]+_xlfn.XLOOKUP(RIGHT(Baukon_neu[[#Headers],[Dicke '[mm'] min]],3),Dämmstoffvarianten[Variante],Dämmstoffvarianten[Differenz Dämmstoffedicke zu Referenz '[mm']]),Baukon_neu[[#This Row],[Dicke '[mm'] Referenz]])</f>
        <v>0</v>
      </c>
      <c r="L58" s="68">
        <f>IF(Baukon_neu[[#This Row],[ist Dämmstoff?]]="ja",Baukon_neu[[#This Row],[Dicke '[mm'] Referenz]]+_xlfn.XLOOKUP(RIGHT(Baukon_neu[[#Headers],[Dicke '[mm'] max]],3),Dämmstoffvarianten[Variante],Dämmstoffvarianten[Differenz Dämmstoffedicke zu Referenz '[mm']]),Baukon_neu[[#This Row],[Dicke '[mm'] Referenz]])</f>
        <v>0</v>
      </c>
      <c r="M58" s="109">
        <v>1</v>
      </c>
      <c r="N58" s="75"/>
      <c r="O58" s="69">
        <f>IFERROR(Baukon_neu[[#This Row],[Dicke '[mm'] Referenz]]/1000*Baukon_neu[[#This Row],[Flächenanteil '[%']]],"")</f>
        <v>0</v>
      </c>
      <c r="P58" s="69">
        <f>IFERROR(Baukon_neu[[#This Row],[Dicke '[mm'] min]]/1000*Baukon_neu[[#This Row],[Flächenanteil '[%']]],"")</f>
        <v>0</v>
      </c>
      <c r="Q58" s="69">
        <f>IFERROR(Baukon_neu[[#This Row],[Dicke '[mm'] max]]/1000*Baukon_neu[[#This Row],[Flächenanteil '[%']]],"")</f>
        <v>0</v>
      </c>
      <c r="R58" s="77" t="s">
        <v>226</v>
      </c>
      <c r="S58" s="69" t="str">
        <f>IFERROR(_xlfn.XLOOKUP(Baukon_neu[[#This Row],[Produkt]],LeitRess_Materialien[Name],LeitRess_Materialien[Material_UUID]),"")</f>
        <v>0</v>
      </c>
      <c r="T58" s="69">
        <f>IF(OR(Baukon_neu[[#This Row],[Rohdichte '[kg/m³'], Eingabe ]]="", Baukon_neu[[#This Row],[Rohdichte '[kg/m³'], Eingabe ]]="0"),_xlfn.XLOOKUP(Baukon_neu[[#This Row],[LCA Datensatz]],LeitRess_Materialien[Material_UUID],LeitRess_Materialien[Rohdichte_'[kg/m3']]),Baukon_neu[[#This Row],[Rohdichte '[kg/m³'], Eingabe ]])</f>
        <v>0</v>
      </c>
      <c r="U58" s="69">
        <f>IF(OR(Baukon_neu[[#This Row],[Flächengewicht '[kg/m²'], Eingabe ]]="", Baukon_neu[[#This Row],[Flächengewicht '[kg/m²'], Eingabe ]]="0"),_xlfn.XLOOKUP(Baukon_neu[[#This Row],[LCA Datensatz]],LeitRess_Materialien[Material_UUID],LeitRess_Materialien[Flächengewicht_'[kg/m2']]),Baukon_neu[[#This Row],[Flächengewicht '[kg/m²'], Eingabe ]])</f>
        <v>0</v>
      </c>
      <c r="V58" s="69">
        <f>IF(OR(Baukon_neu[[#This Row],[Längengewicht '[kg/m'], Eingabe ]]="", Baukon_neu[[#This Row],[Längengewicht '[kg/m'], Eingabe ]]="0"),_xlfn.XLOOKUP(Baukon_neu[[#This Row],[LCA Datensatz]],LeitRess_Materialien[Material_UUID],LeitRess_Materialien[Längengewicht_'[kg/m']]),Baukon_neu[[#This Row],[Längengewicht '[kg/m'], Eingabe ]])</f>
        <v>0</v>
      </c>
      <c r="W58" s="69">
        <f>IF(OR(Baukon_neu[[#This Row],[lambda_'[W/mK'], Eingabe ]]="", Baukon_neu[[#This Row],[lambda_'[W/mK'], Eingabe ]]="0"),_xlfn.XLOOKUP(Baukon_neu[[#This Row],[LCA Datensatz]],LeitRess_Materialien[Material_UUID],LeitRess_Materialien[lambda_'[W/mK']]),Baukon_neu[[#This Row],[lambda_'[W/mK'], Eingabe ]])</f>
        <v>0</v>
      </c>
      <c r="X58" s="77"/>
      <c r="Y58" s="77"/>
      <c r="Z58" s="77"/>
      <c r="AA58" s="77"/>
      <c r="AB58" s="69">
        <f>IFERROR(
    IF(Baukon_neu[[#This Row],[Länge '[m/m²']]]*Baukon_neu[[#This Row],[Längengewicht '[kg/m']]]&lt;&gt;0, Baukon_neu[[#This Row],[Länge '[m/m²']]]*Baukon_neu[[#This Row],[Längengewicht '[kg/m']]],
       IF( Baukon_neu[[#This Row],[Volumen '[m³/m²'] Referenz]]*Baukon_neu[[#This Row],[Rohdichte '[kg/m³']]]&lt;&gt;0,
        Baukon_neu[[#This Row],[Volumen '[m³/m²'] Referenz]]*Baukon_neu[[#This Row],[Rohdichte '[kg/m³']]],
                Baukon_neu[[#This Row],[Flächenanteil '[%']]]*Baukon_neu[[#This Row],[Flächengewicht '[kg/m²']]])),"")</f>
        <v>0</v>
      </c>
      <c r="AC58" s="69">
        <f>IFERROR(
    IF(Baukon_neu[[#This Row],[Länge '[m/m²']]]*Baukon_neu[[#This Row],[Längengewicht '[kg/m']]]&lt;&gt;0, Baukon_neu[[#This Row],[Länge '[m/m²']]]*Baukon_neu[[#This Row],[Längengewicht '[kg/m']]],
       IF( Baukon_neu[[#This Row],[Volumen '[m³/m²'] min]]*Baukon_neu[[#This Row],[Rohdichte '[kg/m³']]]&lt;&gt;0,
        Baukon_neu[[#This Row],[Volumen '[m³/m²'] min]]*Baukon_neu[[#This Row],[Rohdichte '[kg/m³']]],
                Baukon_neu[[#This Row],[Flächenanteil '[%']]]*Baukon_neu[[#This Row],[Flächengewicht '[kg/m²']]])),"")</f>
        <v>0</v>
      </c>
      <c r="AD58" s="69">
        <f>IFERROR(
    IF(Baukon_neu[[#This Row],[Länge '[m/m²']]]*Baukon_neu[[#This Row],[Längengewicht '[kg/m']]]&lt;&gt;0, Baukon_neu[[#This Row],[Länge '[m/m²']]]*Baukon_neu[[#This Row],[Längengewicht '[kg/m']]],
       IF( Baukon_neu[[#This Row],[Volumen '[m³/m²'] max]]*Baukon_neu[[#This Row],[Rohdichte '[kg/m³']]]&lt;&gt;0,
        Baukon_neu[[#This Row],[Volumen '[m³/m²'] max]]*Baukon_neu[[#This Row],[Rohdichte '[kg/m³']]],
                Baukon_neu[[#This Row],[Flächenanteil '[%']]]*Baukon_neu[[#This Row],[Flächengewicht '[kg/m²']]])),"")</f>
        <v>0</v>
      </c>
      <c r="AE58" s="107" t="str">
        <f>IFERROR(Baukon_neu[[#This Row],[Dicke '[mm'] Referenz]]/Baukon_neu[[#This Row],[lambda_'[W/mK']]],"")</f>
        <v/>
      </c>
      <c r="AF58" s="70">
        <f>_xlfn.XLOOKUP(Baukon_neu[[#This Row],[LCA Datensatz]],LeitRess_Materialien[Material_UUID],LeitRess_Materialien[RMI '[kg Primärrohstoffe / kg']])*Baukon_neu[[#This Row],[Masse '[kg/m²'] Referenz]]</f>
        <v>0</v>
      </c>
      <c r="AG58" s="70">
        <f>_xlfn.XLOOKUP(Baukon_neu[[#This Row],[LCA Datensatz]],LeitRess_Materialien[Material_UUID],LeitRess_Materialien[RMI '[kg Primärrohstoffe / kg']])*Baukon_neu[[#This Row],[Masse '[kg/m²'] min]]</f>
        <v>0</v>
      </c>
      <c r="AH58" s="70">
        <f>_xlfn.XLOOKUP(Baukon_neu[[#This Row],[LCA Datensatz]],LeitRess_Materialien[Material_UUID],LeitRess_Materialien[RMI '[kg Primärrohstoffe / kg']])*Baukon_neu[[#This Row],[Masse '[kg/m²'] max]]</f>
        <v>0</v>
      </c>
      <c r="AI58" s="70">
        <f>_xlfn.XLOOKUP(Baukon_neu[[#This Row],[LCA Datensatz]],LeitRess_Materialien[Material_UUID],LeitRess_Materialien[TMR '[kg Gesamtmaterialaufwand/kg']])*Baukon_neu[[#This Row],[Masse '[kg/m²'] Referenz]]</f>
        <v>0</v>
      </c>
      <c r="AJ58" s="70">
        <f>_xlfn.XLOOKUP(Baukon_neu[[#This Row],[LCA Datensatz]],LeitRess_Materialien[Material_UUID],LeitRess_Materialien[TMR '[kg Gesamtmaterialaufwand/kg']])*Baukon_neu[[#This Row],[Masse '[kg/m²'] min]]</f>
        <v>0</v>
      </c>
      <c r="AK58" s="70">
        <f>_xlfn.XLOOKUP(Baukon_neu[[#This Row],[LCA Datensatz]],LeitRess_Materialien[Material_UUID],LeitRess_Materialien[TMR '[kg Gesamtmaterialaufwand/kg']])*Baukon_neu[[#This Row],[Masse '[kg/m²'] max]]</f>
        <v>0</v>
      </c>
      <c r="AL58" s="70">
        <f>_xlfn.XLOOKUP(Baukon_neu[[#This Row],[LCA Datensatz]],LeitRess_Materialien[Material_UUID],LeitRess_Materialien[GWP '[kg CO2-Äqu./kg']])*Baukon_neu[[#This Row],[Masse '[kg/m²'] Referenz]]</f>
        <v>0</v>
      </c>
      <c r="AM58" s="70">
        <f>_xlfn.XLOOKUP(Baukon_neu[[#This Row],[LCA Datensatz]],LeitRess_Materialien[Material_UUID],LeitRess_Materialien[GWP '[kg CO2-Äqu./kg']])*Baukon_neu[[#This Row],[Masse '[kg/m²'] min]]</f>
        <v>0</v>
      </c>
      <c r="AN58" s="70">
        <f>_xlfn.XLOOKUP(Baukon_neu[[#This Row],[LCA Datensatz]],LeitRess_Materialien[Material_UUID],LeitRess_Materialien[GWP '[kg CO2-Äqu./kg']])*Baukon_neu[[#This Row],[Masse '[kg/m²'] max]]</f>
        <v>0</v>
      </c>
      <c r="AO58" s="70">
        <f>_xlfn.XLOOKUP(Baukon_neu[[#This Row],[LCA Datensatz]],LeitRess_Materialien[Material_UUID],LeitRess_Materialien[PENRT '[MJ/kg']])*Baukon_neu[[#This Row],[Masse '[kg/m²'] Referenz]]</f>
        <v>0</v>
      </c>
      <c r="AP58" s="70">
        <f>_xlfn.XLOOKUP(Baukon_neu[[#This Row],[LCA Datensatz]],LeitRess_Materialien[Material_UUID],LeitRess_Materialien[PENRT '[MJ/kg']])*Baukon_neu[[#This Row],[Masse '[kg/m²'] min]]</f>
        <v>0</v>
      </c>
      <c r="AQ58" s="70">
        <f>_xlfn.XLOOKUP(Baukon_neu[[#This Row],[LCA Datensatz]],LeitRess_Materialien[Material_UUID],LeitRess_Materialien[PENRT '[MJ/kg']])*Baukon_neu[[#This Row],[Masse '[kg/m²'] max]]</f>
        <v>0</v>
      </c>
      <c r="AR58" s="70" t="e">
        <f>_xlfn.XLOOKUP(Baukon_neu[[#This Row],[LCA Datensatz]],LeitRess_Materialien[Material_UUID],#REF!)*Baukon_neu[[#This Row],[Masse '[kg/m²'] Referenz]]</f>
        <v>#REF!</v>
      </c>
      <c r="AS58" s="70" t="e">
        <f>_xlfn.XLOOKUP(Baukon_neu[[#This Row],[LCA Datensatz]],LeitRess_Materialien[Material_UUID],#REF!)*Baukon_neu[[#This Row],[Masse '[kg/m²'] min]]</f>
        <v>#REF!</v>
      </c>
      <c r="AT58" s="70" t="e">
        <f>_xlfn.XLOOKUP(Baukon_neu[[#This Row],[LCA Datensatz]],LeitRess_Materialien[Material_UUID],#REF!)*Baukon_neu[[#This Row],[Masse '[kg/m²'] max]]</f>
        <v>#REF!</v>
      </c>
      <c r="AU58" s="70">
        <f>_xlfn.XLOOKUP(Baukon_neu[[#This Row],[LCA Datensatz]],LeitRess_Materialien[Material_UUID],LeitRess_Materialien[WDP '[m³ weighted water/kg']])*Baukon_neu[[#This Row],[Masse '[kg/m²'] Referenz]]</f>
        <v>0</v>
      </c>
      <c r="AV58" s="70">
        <f>_xlfn.XLOOKUP(Baukon_neu[[#This Row],[LCA Datensatz]],LeitRess_Materialien[Material_UUID],LeitRess_Materialien[WDP '[m³ weighted water/kg']])*Baukon_neu[[#This Row],[Masse '[kg/m²'] min]]</f>
        <v>0</v>
      </c>
      <c r="AW58" s="70">
        <f>_xlfn.XLOOKUP(Baukon_neu[[#This Row],[LCA Datensatz]],LeitRess_Materialien[Material_UUID],LeitRess_Materialien[WDP '[m³ weighted water/kg']])*Baukon_neu[[#This Row],[Masse '[kg/m²'] max]]</f>
        <v>0</v>
      </c>
      <c r="AX58" s="108">
        <f>Baukon_neu[[#This Row],[GWP '[kg CO2-Äqu./m²'] Referenz]]/'Ausgabe Tabellen'!$C$21+Baukon_neu[[#This Row],[PENRT '[MJ/m²'] Referenz]]/'Ausgabe Tabellen'!$C$22+Baukon_neu[[#This Row],[RMI '[kg Primärrohstoffe/m²'] Referenz]]/'Ausgabe Tabellen'!$C$23+Baukon_neu[[#This Row],[WDP '[m² weighted water/m²'] Referenz]]/'Ausgabe Tabellen'!$C$24</f>
        <v>0</v>
      </c>
      <c r="AY58" s="108">
        <f>Baukon_neu[[#This Row],[GWP '[kg CO2-Äqu./m²'] min]]/'Ausgabe Tabellen'!$C$21+Baukon_neu[[#This Row],[PENRT '[MJ/m²'] min]]/'Ausgabe Tabellen'!$C$22+Baukon_neu[[#This Row],[RMI '[kg Primärrohstoffe/m²'] min]]/'Ausgabe Tabellen'!$C$23+Baukon_neu[[#This Row],[WDP '[m² weighted water/m²'] min]]/'Ausgabe Tabellen'!$C$24</f>
        <v>0</v>
      </c>
      <c r="AZ58" s="108">
        <f>Baukon_neu[[#This Row],[GWP '[kg CO2-Äqu./m²'] max]]/'Ausgabe Tabellen'!$C$21+Baukon_neu[[#This Row],[PENRT '[MJ/m²'] max]]/'Ausgabe Tabellen'!$C$22+Baukon_neu[[#This Row],[RMI '[kg Primärrohstoffe/m²'] max]]/'Ausgabe Tabellen'!$C$23+Baukon_neu[[#This Row],[WDP '[m² weighted water/m²'] max]]/'Ausgabe Tabellen'!$C$24</f>
        <v>0</v>
      </c>
    </row>
    <row r="59" spans="1:52" x14ac:dyDescent="0.65">
      <c r="A59" s="87"/>
      <c r="B59" s="87"/>
      <c r="C59" s="87"/>
      <c r="D59" s="87"/>
      <c r="E59" s="90"/>
      <c r="F59" s="87"/>
      <c r="G59" s="87"/>
      <c r="H59" s="87"/>
      <c r="I59" s="87"/>
      <c r="J59" s="87"/>
      <c r="K59" s="87"/>
      <c r="L59" s="87"/>
      <c r="M59" s="87"/>
      <c r="N59" s="92"/>
      <c r="O59" s="87"/>
      <c r="P59" s="93"/>
      <c r="Q59" s="93"/>
      <c r="R59" s="93"/>
      <c r="S59" s="93"/>
      <c r="T59" s="93"/>
      <c r="U59" s="93"/>
      <c r="V59" s="93"/>
      <c r="W59" s="93"/>
      <c r="X59" s="93"/>
      <c r="Y59" s="93"/>
      <c r="Z59" s="93"/>
      <c r="AA59" s="93"/>
      <c r="AB59" s="94"/>
      <c r="AC59" s="94"/>
      <c r="AD59" s="94"/>
      <c r="AE59" s="94"/>
      <c r="AF59" s="95"/>
      <c r="AG59" s="95"/>
      <c r="AH59" s="95"/>
      <c r="AI59" s="95"/>
      <c r="AJ59" s="95"/>
      <c r="AK59" s="95"/>
      <c r="AL59" s="95"/>
      <c r="AM59" s="95"/>
      <c r="AN59" s="95"/>
      <c r="AO59" s="95"/>
      <c r="AP59" s="95"/>
      <c r="AQ59" s="95"/>
      <c r="AR59" s="95"/>
      <c r="AS59" s="95"/>
      <c r="AT59" s="95"/>
      <c r="AU59" s="95"/>
      <c r="AV59" s="95"/>
      <c r="AW59" s="95"/>
      <c r="AX59" s="95"/>
      <c r="AY59" s="95"/>
      <c r="AZ59" s="95"/>
    </row>
    <row r="60" spans="1:52" x14ac:dyDescent="0.65">
      <c r="A60" s="87"/>
      <c r="B60" s="87"/>
      <c r="C60" s="87"/>
      <c r="D60" s="87"/>
      <c r="E60" s="90"/>
      <c r="F60" s="87"/>
      <c r="G60" s="87"/>
      <c r="H60" s="87"/>
      <c r="I60" s="87"/>
      <c r="J60" s="87"/>
      <c r="K60" s="87"/>
      <c r="L60" s="87"/>
      <c r="M60" s="87"/>
      <c r="N60" s="92"/>
      <c r="O60" s="87"/>
      <c r="P60" s="93"/>
      <c r="Q60" s="93"/>
      <c r="R60" s="93"/>
      <c r="S60" s="93"/>
      <c r="T60" s="93"/>
      <c r="U60" s="93"/>
      <c r="V60" s="93"/>
      <c r="W60" s="93"/>
      <c r="X60" s="93"/>
      <c r="Y60" s="93"/>
      <c r="Z60" s="93"/>
      <c r="AA60" s="93"/>
      <c r="AB60" s="94"/>
      <c r="AC60" s="94"/>
      <c r="AD60" s="94"/>
      <c r="AE60" s="94"/>
      <c r="AF60" s="95"/>
      <c r="AG60" s="95"/>
      <c r="AH60" s="95"/>
      <c r="AI60" s="95"/>
      <c r="AJ60" s="95"/>
      <c r="AK60" s="95"/>
      <c r="AL60" s="95"/>
      <c r="AM60" s="95"/>
      <c r="AN60" s="95"/>
      <c r="AO60" s="95"/>
      <c r="AP60" s="95"/>
      <c r="AQ60" s="95"/>
      <c r="AR60" s="95"/>
      <c r="AS60" s="95"/>
      <c r="AT60" s="95"/>
      <c r="AU60" s="95"/>
      <c r="AV60" s="95"/>
      <c r="AW60" s="95"/>
      <c r="AX60" s="95"/>
      <c r="AY60" s="95"/>
      <c r="AZ60" s="95"/>
    </row>
    <row r="61" spans="1:52" x14ac:dyDescent="0.65">
      <c r="A61" s="87"/>
      <c r="B61" s="87"/>
      <c r="C61" s="87"/>
      <c r="D61" s="87"/>
      <c r="E61" s="90"/>
      <c r="F61" s="87"/>
      <c r="G61" s="87"/>
      <c r="H61" s="87"/>
      <c r="I61" s="87"/>
      <c r="J61" s="87"/>
      <c r="K61" s="87"/>
      <c r="L61" s="87"/>
      <c r="M61" s="87"/>
      <c r="N61" s="92"/>
      <c r="O61" s="87"/>
      <c r="P61" s="93"/>
      <c r="Q61" s="93"/>
      <c r="R61" s="93"/>
      <c r="S61" s="93"/>
      <c r="T61" s="93"/>
      <c r="U61" s="93"/>
      <c r="V61" s="93"/>
      <c r="W61" s="93"/>
      <c r="X61" s="93"/>
      <c r="Y61" s="93"/>
      <c r="Z61" s="93"/>
      <c r="AA61" s="93"/>
      <c r="AB61" s="94"/>
      <c r="AC61" s="94"/>
      <c r="AD61" s="94"/>
      <c r="AE61" s="94"/>
      <c r="AF61" s="95"/>
      <c r="AG61" s="95"/>
      <c r="AH61" s="95"/>
      <c r="AI61" s="95"/>
      <c r="AJ61" s="95"/>
      <c r="AK61" s="95"/>
      <c r="AL61" s="95"/>
      <c r="AM61" s="95"/>
      <c r="AN61" s="95"/>
      <c r="AO61" s="95"/>
      <c r="AP61" s="95"/>
      <c r="AQ61" s="95"/>
      <c r="AR61" s="95"/>
      <c r="AS61" s="95"/>
      <c r="AT61" s="95"/>
      <c r="AU61" s="95"/>
      <c r="AV61" s="95"/>
      <c r="AW61" s="95"/>
      <c r="AX61" s="95"/>
      <c r="AY61" s="95"/>
      <c r="AZ61" s="95"/>
    </row>
    <row r="62" spans="1:52" x14ac:dyDescent="0.65">
      <c r="A62" s="87"/>
      <c r="B62" s="87"/>
      <c r="C62" s="87"/>
      <c r="D62" s="87"/>
      <c r="E62" s="90"/>
      <c r="F62" s="87"/>
      <c r="G62" s="87"/>
      <c r="H62" s="87"/>
      <c r="I62" s="87"/>
      <c r="J62" s="87"/>
      <c r="K62" s="87"/>
      <c r="L62" s="87"/>
      <c r="M62" s="87"/>
      <c r="N62" s="92"/>
      <c r="O62" s="87"/>
      <c r="P62" s="93"/>
      <c r="Q62" s="93"/>
      <c r="R62" s="93"/>
      <c r="S62" s="93"/>
      <c r="T62" s="93"/>
      <c r="U62" s="93"/>
      <c r="V62" s="93"/>
      <c r="W62" s="93"/>
      <c r="X62" s="93"/>
      <c r="Y62" s="93"/>
      <c r="Z62" s="93"/>
      <c r="AA62" s="93"/>
      <c r="AB62" s="94"/>
      <c r="AC62" s="94"/>
      <c r="AD62" s="94"/>
      <c r="AE62" s="94"/>
      <c r="AF62" s="95"/>
      <c r="AG62" s="95"/>
      <c r="AH62" s="95"/>
      <c r="AI62" s="95"/>
      <c r="AJ62" s="95"/>
      <c r="AK62" s="95"/>
      <c r="AL62" s="95"/>
      <c r="AM62" s="95"/>
      <c r="AN62" s="95"/>
      <c r="AO62" s="95"/>
      <c r="AP62" s="95"/>
      <c r="AQ62" s="95"/>
      <c r="AR62" s="95"/>
      <c r="AS62" s="95"/>
      <c r="AT62" s="95"/>
      <c r="AU62" s="95"/>
      <c r="AV62" s="95"/>
      <c r="AW62" s="95"/>
      <c r="AX62" s="95"/>
      <c r="AY62" s="95"/>
      <c r="AZ62" s="95"/>
    </row>
    <row r="63" spans="1:52" x14ac:dyDescent="0.65">
      <c r="A63" s="87"/>
      <c r="B63" s="87"/>
      <c r="C63" s="87"/>
      <c r="D63" s="87"/>
      <c r="E63" s="90"/>
      <c r="F63" s="87"/>
      <c r="G63" s="87"/>
      <c r="H63" s="87"/>
      <c r="I63" s="87"/>
      <c r="J63" s="87"/>
      <c r="K63" s="87"/>
      <c r="L63" s="87"/>
      <c r="M63" s="87"/>
      <c r="N63" s="92"/>
      <c r="O63" s="87"/>
      <c r="P63" s="93"/>
      <c r="Q63" s="93"/>
      <c r="R63" s="93"/>
      <c r="S63" s="93"/>
      <c r="T63" s="93"/>
      <c r="U63" s="93"/>
      <c r="V63" s="93"/>
      <c r="W63" s="93"/>
      <c r="X63" s="93"/>
      <c r="Y63" s="93"/>
      <c r="Z63" s="93"/>
      <c r="AA63" s="93"/>
      <c r="AB63" s="94"/>
      <c r="AC63" s="94"/>
      <c r="AD63" s="94"/>
      <c r="AE63" s="94"/>
      <c r="AF63" s="95"/>
      <c r="AG63" s="95"/>
      <c r="AH63" s="95"/>
      <c r="AI63" s="95"/>
      <c r="AJ63" s="95"/>
      <c r="AK63" s="95"/>
      <c r="AL63" s="95"/>
      <c r="AM63" s="95"/>
      <c r="AN63" s="95"/>
      <c r="AO63" s="95"/>
      <c r="AP63" s="95"/>
      <c r="AQ63" s="95"/>
      <c r="AR63" s="95"/>
      <c r="AS63" s="95"/>
      <c r="AT63" s="95"/>
      <c r="AU63" s="95"/>
      <c r="AV63" s="95"/>
      <c r="AW63" s="95"/>
      <c r="AX63" s="95"/>
      <c r="AY63" s="95"/>
      <c r="AZ63" s="95"/>
    </row>
    <row r="64" spans="1:52" x14ac:dyDescent="0.65">
      <c r="A64" s="87"/>
      <c r="B64" s="87"/>
      <c r="C64" s="87"/>
      <c r="D64" s="87"/>
      <c r="E64" s="90"/>
      <c r="F64" s="87"/>
      <c r="G64" s="87"/>
      <c r="H64" s="87"/>
      <c r="I64" s="87"/>
      <c r="J64" s="87"/>
      <c r="K64" s="87"/>
      <c r="L64" s="87"/>
      <c r="M64" s="87"/>
      <c r="N64" s="92"/>
      <c r="O64" s="87"/>
      <c r="P64" s="93"/>
      <c r="Q64" s="93"/>
      <c r="R64" s="93"/>
      <c r="S64" s="93"/>
      <c r="T64" s="93"/>
      <c r="U64" s="93"/>
      <c r="V64" s="93"/>
      <c r="W64" s="93"/>
      <c r="X64" s="93"/>
      <c r="Y64" s="93"/>
      <c r="Z64" s="93"/>
      <c r="AA64" s="93"/>
      <c r="AB64" s="94"/>
      <c r="AC64" s="94"/>
      <c r="AD64" s="94"/>
      <c r="AE64" s="94"/>
      <c r="AF64" s="95"/>
      <c r="AG64" s="95"/>
      <c r="AH64" s="95"/>
      <c r="AI64" s="95"/>
      <c r="AJ64" s="95"/>
      <c r="AK64" s="95"/>
      <c r="AL64" s="95"/>
      <c r="AM64" s="95"/>
      <c r="AN64" s="95"/>
      <c r="AO64" s="95"/>
      <c r="AP64" s="95"/>
      <c r="AQ64" s="95"/>
      <c r="AR64" s="95"/>
      <c r="AS64" s="95"/>
      <c r="AT64" s="95"/>
      <c r="AU64" s="95"/>
      <c r="AV64" s="95"/>
      <c r="AW64" s="95"/>
      <c r="AX64" s="95"/>
      <c r="AY64" s="95"/>
      <c r="AZ64" s="95"/>
    </row>
    <row r="65" spans="1:52" x14ac:dyDescent="0.65">
      <c r="A65" s="87"/>
      <c r="B65" s="87"/>
      <c r="C65" s="87"/>
      <c r="D65" s="87"/>
      <c r="E65" s="90"/>
      <c r="F65" s="87"/>
      <c r="G65" s="87"/>
      <c r="H65" s="87"/>
      <c r="I65" s="87"/>
      <c r="J65" s="87"/>
      <c r="K65" s="87"/>
      <c r="L65" s="87"/>
      <c r="M65" s="87"/>
      <c r="N65" s="92"/>
      <c r="O65" s="87"/>
      <c r="P65" s="93"/>
      <c r="Q65" s="93"/>
      <c r="R65" s="93"/>
      <c r="S65" s="93"/>
      <c r="T65" s="93"/>
      <c r="U65" s="93"/>
      <c r="V65" s="93"/>
      <c r="W65" s="93"/>
      <c r="X65" s="93"/>
      <c r="Y65" s="93"/>
      <c r="Z65" s="93"/>
      <c r="AA65" s="93"/>
      <c r="AB65" s="94"/>
      <c r="AC65" s="94"/>
      <c r="AD65" s="94"/>
      <c r="AE65" s="94"/>
      <c r="AF65" s="95"/>
      <c r="AG65" s="95"/>
      <c r="AH65" s="95"/>
      <c r="AI65" s="95"/>
      <c r="AJ65" s="95"/>
      <c r="AK65" s="95"/>
      <c r="AL65" s="95"/>
      <c r="AM65" s="95"/>
      <c r="AN65" s="95"/>
      <c r="AO65" s="95"/>
      <c r="AP65" s="95"/>
      <c r="AQ65" s="95"/>
      <c r="AR65" s="95"/>
      <c r="AS65" s="95"/>
      <c r="AT65" s="95"/>
      <c r="AU65" s="95"/>
      <c r="AV65" s="95"/>
      <c r="AW65" s="95"/>
      <c r="AX65" s="95"/>
      <c r="AY65" s="95"/>
      <c r="AZ65" s="95"/>
    </row>
    <row r="66" spans="1:52" x14ac:dyDescent="0.65">
      <c r="A66" s="87"/>
      <c r="B66" s="87"/>
      <c r="C66" s="87"/>
      <c r="D66" s="87"/>
      <c r="E66" s="90"/>
      <c r="F66" s="87"/>
      <c r="G66" s="87"/>
      <c r="H66" s="87"/>
      <c r="I66" s="87"/>
      <c r="J66" s="87"/>
      <c r="K66" s="87"/>
      <c r="L66" s="87"/>
      <c r="M66" s="87"/>
      <c r="N66" s="92"/>
      <c r="O66" s="87"/>
      <c r="P66" s="93"/>
      <c r="Q66" s="93"/>
      <c r="R66" s="93"/>
      <c r="S66" s="93"/>
      <c r="T66" s="93"/>
      <c r="U66" s="93"/>
      <c r="V66" s="93"/>
      <c r="W66" s="93"/>
      <c r="X66" s="93"/>
      <c r="Y66" s="93"/>
      <c r="Z66" s="93"/>
      <c r="AA66" s="93"/>
      <c r="AB66" s="94"/>
      <c r="AC66" s="94"/>
      <c r="AD66" s="94"/>
      <c r="AE66" s="94"/>
      <c r="AF66" s="95"/>
      <c r="AG66" s="95"/>
      <c r="AH66" s="95"/>
      <c r="AI66" s="95"/>
      <c r="AJ66" s="95"/>
      <c r="AK66" s="95"/>
      <c r="AL66" s="95"/>
      <c r="AM66" s="95"/>
      <c r="AN66" s="95"/>
      <c r="AO66" s="95"/>
      <c r="AP66" s="95"/>
      <c r="AQ66" s="95"/>
      <c r="AR66" s="95"/>
      <c r="AS66" s="95"/>
      <c r="AT66" s="95"/>
      <c r="AU66" s="95"/>
      <c r="AV66" s="95"/>
      <c r="AW66" s="95"/>
      <c r="AX66" s="95"/>
      <c r="AY66" s="95"/>
      <c r="AZ66" s="95"/>
    </row>
    <row r="67" spans="1:52" x14ac:dyDescent="0.65">
      <c r="A67" s="87"/>
      <c r="B67" s="87"/>
      <c r="C67" s="87"/>
      <c r="D67" s="87"/>
      <c r="E67" s="90"/>
      <c r="F67" s="87"/>
      <c r="G67" s="87"/>
      <c r="H67" s="87"/>
      <c r="I67" s="87"/>
      <c r="J67" s="87"/>
      <c r="K67" s="87"/>
      <c r="L67" s="87"/>
      <c r="M67" s="87"/>
      <c r="N67" s="92"/>
      <c r="O67" s="87"/>
      <c r="P67" s="93"/>
      <c r="Q67" s="93"/>
      <c r="R67" s="93"/>
      <c r="S67" s="93"/>
      <c r="T67" s="93"/>
      <c r="U67" s="93"/>
      <c r="V67" s="93"/>
      <c r="W67" s="93"/>
      <c r="X67" s="93"/>
      <c r="Y67" s="93"/>
      <c r="Z67" s="93"/>
      <c r="AA67" s="93"/>
      <c r="AB67" s="94"/>
      <c r="AC67" s="94"/>
      <c r="AD67" s="94"/>
      <c r="AE67" s="94"/>
      <c r="AF67" s="95"/>
      <c r="AG67" s="95"/>
      <c r="AH67" s="95"/>
      <c r="AI67" s="95"/>
      <c r="AJ67" s="95"/>
      <c r="AK67" s="95"/>
      <c r="AL67" s="95"/>
      <c r="AM67" s="95"/>
      <c r="AN67" s="95"/>
      <c r="AO67" s="95"/>
      <c r="AP67" s="95"/>
      <c r="AQ67" s="95"/>
      <c r="AR67" s="95"/>
      <c r="AS67" s="95"/>
      <c r="AT67" s="95"/>
      <c r="AU67" s="95"/>
      <c r="AV67" s="95"/>
      <c r="AW67" s="95"/>
      <c r="AX67" s="95"/>
      <c r="AY67" s="95"/>
      <c r="AZ67" s="95"/>
    </row>
    <row r="68" spans="1:52" x14ac:dyDescent="0.65">
      <c r="A68" s="87"/>
      <c r="B68" s="87"/>
      <c r="C68" s="87"/>
      <c r="D68" s="87"/>
      <c r="E68" s="90"/>
      <c r="F68" s="87"/>
      <c r="G68" s="87"/>
      <c r="H68" s="87"/>
      <c r="I68" s="87"/>
      <c r="J68" s="87"/>
      <c r="K68" s="87"/>
      <c r="L68" s="87"/>
      <c r="M68" s="87"/>
      <c r="N68" s="92"/>
      <c r="O68" s="87"/>
      <c r="P68" s="93"/>
      <c r="Q68" s="93"/>
      <c r="R68" s="93"/>
      <c r="S68" s="93"/>
      <c r="T68" s="93"/>
      <c r="U68" s="93"/>
      <c r="V68" s="93"/>
      <c r="W68" s="93"/>
      <c r="X68" s="93"/>
      <c r="Y68" s="93"/>
      <c r="Z68" s="93"/>
      <c r="AA68" s="93"/>
      <c r="AB68" s="94"/>
      <c r="AC68" s="94"/>
      <c r="AD68" s="94"/>
      <c r="AE68" s="94"/>
      <c r="AF68" s="95"/>
      <c r="AG68" s="95"/>
      <c r="AH68" s="95"/>
      <c r="AI68" s="95"/>
      <c r="AJ68" s="95"/>
      <c r="AK68" s="95"/>
      <c r="AL68" s="95"/>
      <c r="AM68" s="95"/>
      <c r="AN68" s="95"/>
      <c r="AO68" s="95"/>
      <c r="AP68" s="95"/>
      <c r="AQ68" s="95"/>
      <c r="AR68" s="95"/>
      <c r="AS68" s="95"/>
      <c r="AT68" s="95"/>
      <c r="AU68" s="95"/>
      <c r="AV68" s="95"/>
      <c r="AW68" s="95"/>
      <c r="AX68" s="95"/>
      <c r="AY68" s="95"/>
      <c r="AZ68" s="95"/>
    </row>
    <row r="69" spans="1:52" x14ac:dyDescent="0.65">
      <c r="A69" s="87"/>
      <c r="B69" s="87"/>
      <c r="C69" s="87"/>
      <c r="D69" s="87"/>
      <c r="E69" s="90"/>
      <c r="F69" s="87"/>
      <c r="G69" s="87"/>
      <c r="H69" s="87"/>
      <c r="I69" s="87"/>
      <c r="J69" s="87"/>
      <c r="K69" s="87"/>
      <c r="L69" s="87"/>
      <c r="M69" s="87"/>
      <c r="N69" s="92"/>
      <c r="O69" s="87"/>
      <c r="P69" s="93"/>
      <c r="Q69" s="93"/>
      <c r="R69" s="93"/>
      <c r="S69" s="93"/>
      <c r="T69" s="93"/>
      <c r="U69" s="93"/>
      <c r="V69" s="93"/>
      <c r="W69" s="93"/>
      <c r="X69" s="93"/>
      <c r="Y69" s="93"/>
      <c r="Z69" s="93"/>
      <c r="AA69" s="93"/>
      <c r="AB69" s="94"/>
      <c r="AC69" s="94"/>
      <c r="AD69" s="94"/>
      <c r="AE69" s="94"/>
      <c r="AF69" s="95"/>
      <c r="AG69" s="95"/>
      <c r="AH69" s="95"/>
      <c r="AI69" s="95"/>
      <c r="AJ69" s="95"/>
      <c r="AK69" s="95"/>
      <c r="AL69" s="95"/>
      <c r="AM69" s="95"/>
      <c r="AN69" s="95"/>
      <c r="AO69" s="95"/>
      <c r="AP69" s="95"/>
      <c r="AQ69" s="95"/>
      <c r="AR69" s="95"/>
      <c r="AS69" s="95"/>
      <c r="AT69" s="95"/>
      <c r="AU69" s="95"/>
      <c r="AV69" s="95"/>
      <c r="AW69" s="95"/>
      <c r="AX69" s="95"/>
      <c r="AY69" s="95"/>
      <c r="AZ69" s="95"/>
    </row>
    <row r="70" spans="1:52" x14ac:dyDescent="0.65">
      <c r="A70" s="87"/>
      <c r="B70" s="87"/>
      <c r="C70" s="87"/>
      <c r="D70" s="87"/>
      <c r="E70" s="90"/>
      <c r="F70" s="87"/>
      <c r="G70" s="87"/>
      <c r="H70" s="87"/>
      <c r="I70" s="87"/>
      <c r="J70" s="87"/>
      <c r="K70" s="87"/>
      <c r="L70" s="87"/>
      <c r="M70" s="87"/>
      <c r="N70" s="92"/>
      <c r="O70" s="87"/>
      <c r="P70" s="93"/>
      <c r="Q70" s="93"/>
      <c r="R70" s="93"/>
      <c r="S70" s="93"/>
      <c r="T70" s="93"/>
      <c r="U70" s="93"/>
      <c r="V70" s="93"/>
      <c r="W70" s="93"/>
      <c r="X70" s="93"/>
      <c r="Y70" s="93"/>
      <c r="Z70" s="93"/>
      <c r="AA70" s="93"/>
      <c r="AB70" s="94"/>
      <c r="AC70" s="94"/>
      <c r="AD70" s="94"/>
      <c r="AE70" s="94"/>
      <c r="AF70" s="95"/>
      <c r="AG70" s="95"/>
      <c r="AH70" s="95"/>
      <c r="AI70" s="95"/>
      <c r="AJ70" s="95"/>
      <c r="AK70" s="95"/>
      <c r="AL70" s="95"/>
      <c r="AM70" s="95"/>
      <c r="AN70" s="95"/>
      <c r="AO70" s="95"/>
      <c r="AP70" s="95"/>
      <c r="AQ70" s="95"/>
      <c r="AR70" s="95"/>
      <c r="AS70" s="95"/>
      <c r="AT70" s="95"/>
      <c r="AU70" s="95"/>
      <c r="AV70" s="95"/>
      <c r="AW70" s="95"/>
      <c r="AX70" s="95"/>
      <c r="AY70" s="95"/>
      <c r="AZ70" s="95"/>
    </row>
    <row r="71" spans="1:52" x14ac:dyDescent="0.65">
      <c r="C71" s="87"/>
      <c r="D71" s="87"/>
      <c r="E71" s="90"/>
      <c r="F71" s="87"/>
      <c r="G71" s="87"/>
      <c r="H71" s="87"/>
      <c r="I71" s="87"/>
      <c r="J71" s="87"/>
      <c r="K71" s="87"/>
      <c r="L71" s="87"/>
      <c r="M71" s="87"/>
      <c r="N71" s="92"/>
      <c r="O71" s="87"/>
      <c r="P71" s="93"/>
      <c r="Q71" s="93"/>
      <c r="R71" s="93"/>
      <c r="S71" s="93"/>
      <c r="T71" s="93"/>
      <c r="U71" s="93"/>
      <c r="V71" s="93"/>
      <c r="W71" s="93"/>
      <c r="X71" s="93"/>
      <c r="Y71" s="93"/>
      <c r="Z71" s="93"/>
      <c r="AA71" s="93"/>
      <c r="AB71" s="94"/>
      <c r="AC71" s="94"/>
      <c r="AD71" s="94"/>
      <c r="AE71" s="94"/>
      <c r="AF71" s="95"/>
      <c r="AG71" s="95"/>
      <c r="AH71" s="95"/>
      <c r="AI71" s="95"/>
      <c r="AJ71" s="95"/>
      <c r="AK71" s="95"/>
      <c r="AL71" s="95"/>
      <c r="AM71" s="95"/>
      <c r="AN71" s="95"/>
      <c r="AO71" s="95"/>
      <c r="AP71" s="95"/>
      <c r="AQ71" s="95"/>
      <c r="AR71" s="95"/>
      <c r="AS71" s="95"/>
      <c r="AT71" s="95"/>
      <c r="AU71" s="95"/>
      <c r="AV71" s="95"/>
      <c r="AW71" s="95"/>
      <c r="AX71" s="95"/>
      <c r="AY71" s="95"/>
      <c r="AZ71" s="95"/>
    </row>
    <row r="72" spans="1:52" x14ac:dyDescent="0.65">
      <c r="C72" s="87"/>
      <c r="D72" s="87"/>
      <c r="E72" s="90"/>
      <c r="F72" s="87"/>
      <c r="G72" s="87"/>
      <c r="H72" s="87"/>
      <c r="I72" s="87"/>
      <c r="J72" s="87"/>
      <c r="K72" s="87"/>
      <c r="L72" s="87"/>
      <c r="M72" s="87"/>
      <c r="N72" s="92"/>
      <c r="O72" s="87"/>
      <c r="P72" s="93"/>
      <c r="Q72" s="93"/>
      <c r="R72" s="93"/>
      <c r="S72" s="93"/>
      <c r="T72" s="93"/>
      <c r="U72" s="93"/>
      <c r="V72" s="93"/>
      <c r="W72" s="93"/>
      <c r="X72" s="93"/>
      <c r="Y72" s="93"/>
      <c r="Z72" s="93"/>
      <c r="AA72" s="93"/>
      <c r="AB72" s="94"/>
      <c r="AC72" s="94"/>
      <c r="AD72" s="94"/>
      <c r="AE72" s="94"/>
      <c r="AF72" s="95"/>
      <c r="AG72" s="95"/>
      <c r="AH72" s="95"/>
      <c r="AI72" s="95"/>
      <c r="AJ72" s="95"/>
      <c r="AK72" s="95"/>
      <c r="AL72" s="95"/>
      <c r="AM72" s="95"/>
      <c r="AN72" s="95"/>
      <c r="AO72" s="95"/>
      <c r="AP72" s="95"/>
      <c r="AQ72" s="95"/>
      <c r="AR72" s="95"/>
      <c r="AS72" s="95"/>
      <c r="AT72" s="95"/>
      <c r="AU72" s="95"/>
      <c r="AV72" s="95"/>
      <c r="AW72" s="95"/>
      <c r="AX72" s="95"/>
      <c r="AY72" s="95"/>
      <c r="AZ72" s="95"/>
    </row>
    <row r="73" spans="1:52" x14ac:dyDescent="0.65">
      <c r="C73" s="87"/>
      <c r="D73" s="87"/>
      <c r="E73" s="90"/>
      <c r="F73" s="87"/>
      <c r="G73" s="87"/>
      <c r="H73" s="87"/>
      <c r="I73" s="87"/>
      <c r="J73" s="87"/>
      <c r="K73" s="87"/>
      <c r="L73" s="87"/>
      <c r="M73" s="87"/>
      <c r="N73" s="92"/>
      <c r="O73" s="87"/>
      <c r="P73" s="93"/>
      <c r="Q73" s="93"/>
      <c r="R73" s="93"/>
      <c r="S73" s="93"/>
      <c r="T73" s="93"/>
      <c r="U73" s="93"/>
      <c r="V73" s="93"/>
      <c r="W73" s="93"/>
      <c r="X73" s="93"/>
      <c r="Y73" s="93"/>
      <c r="Z73" s="93"/>
      <c r="AA73" s="93"/>
      <c r="AB73" s="94"/>
      <c r="AC73" s="94"/>
      <c r="AD73" s="94"/>
      <c r="AE73" s="94"/>
      <c r="AF73" s="95"/>
      <c r="AG73" s="95"/>
      <c r="AH73" s="95"/>
      <c r="AI73" s="95"/>
      <c r="AJ73" s="95"/>
      <c r="AK73" s="95"/>
      <c r="AL73" s="95"/>
      <c r="AM73" s="95"/>
      <c r="AN73" s="95"/>
      <c r="AO73" s="95"/>
      <c r="AP73" s="95"/>
      <c r="AQ73" s="95"/>
      <c r="AR73" s="95"/>
      <c r="AS73" s="95"/>
      <c r="AT73" s="95"/>
      <c r="AU73" s="95"/>
      <c r="AV73" s="95"/>
      <c r="AW73" s="95"/>
      <c r="AX73" s="95"/>
      <c r="AY73" s="95"/>
      <c r="AZ73" s="95"/>
    </row>
    <row r="74" spans="1:52" x14ac:dyDescent="0.65">
      <c r="C74" s="87"/>
      <c r="D74" s="87"/>
      <c r="E74" s="90"/>
      <c r="F74" s="87"/>
      <c r="G74" s="87"/>
      <c r="H74" s="87"/>
      <c r="I74" s="87"/>
      <c r="J74" s="87"/>
      <c r="K74" s="87"/>
      <c r="L74" s="87"/>
      <c r="M74" s="87"/>
      <c r="N74" s="92"/>
      <c r="O74" s="87"/>
      <c r="P74" s="93"/>
      <c r="Q74" s="93"/>
      <c r="R74" s="93"/>
      <c r="S74" s="93"/>
      <c r="T74" s="93"/>
      <c r="U74" s="93"/>
      <c r="V74" s="93"/>
      <c r="W74" s="93"/>
      <c r="X74" s="93"/>
      <c r="Y74" s="93"/>
      <c r="Z74" s="93"/>
      <c r="AA74" s="93"/>
      <c r="AB74" s="94"/>
      <c r="AC74" s="94"/>
      <c r="AD74" s="94"/>
      <c r="AE74" s="94"/>
      <c r="AF74" s="95"/>
      <c r="AG74" s="95"/>
      <c r="AH74" s="95"/>
      <c r="AI74" s="95"/>
      <c r="AJ74" s="95"/>
      <c r="AK74" s="95"/>
      <c r="AL74" s="95"/>
      <c r="AM74" s="95"/>
      <c r="AN74" s="95"/>
      <c r="AO74" s="95"/>
      <c r="AP74" s="95"/>
      <c r="AQ74" s="95"/>
      <c r="AR74" s="95"/>
      <c r="AS74" s="95"/>
      <c r="AT74" s="95"/>
      <c r="AU74" s="95"/>
      <c r="AV74" s="95"/>
      <c r="AW74" s="95"/>
      <c r="AX74" s="95"/>
      <c r="AY74" s="95"/>
      <c r="AZ74" s="95"/>
    </row>
    <row r="75" spans="1:52" x14ac:dyDescent="0.65">
      <c r="C75" s="87"/>
      <c r="D75" s="87"/>
      <c r="E75" s="90"/>
      <c r="F75" s="87"/>
      <c r="G75" s="87"/>
      <c r="H75" s="87"/>
      <c r="I75" s="87"/>
      <c r="J75" s="87"/>
      <c r="K75" s="87"/>
      <c r="L75" s="87"/>
      <c r="M75" s="87"/>
      <c r="N75" s="92"/>
      <c r="O75" s="87"/>
      <c r="P75" s="93"/>
      <c r="Q75" s="93"/>
      <c r="R75" s="93"/>
      <c r="S75" s="93"/>
      <c r="T75" s="93"/>
      <c r="U75" s="93"/>
      <c r="V75" s="93"/>
      <c r="W75" s="93"/>
      <c r="X75" s="93"/>
      <c r="Y75" s="93"/>
      <c r="Z75" s="93"/>
      <c r="AA75" s="93"/>
      <c r="AB75" s="94"/>
      <c r="AC75" s="94"/>
      <c r="AD75" s="94"/>
      <c r="AE75" s="94"/>
      <c r="AF75" s="95"/>
      <c r="AG75" s="95"/>
      <c r="AH75" s="95"/>
      <c r="AI75" s="95"/>
      <c r="AJ75" s="95"/>
      <c r="AK75" s="95"/>
      <c r="AL75" s="95"/>
      <c r="AM75" s="95"/>
      <c r="AN75" s="95"/>
      <c r="AO75" s="95"/>
      <c r="AP75" s="95"/>
      <c r="AQ75" s="95"/>
      <c r="AR75" s="95"/>
      <c r="AS75" s="95"/>
      <c r="AT75" s="95"/>
      <c r="AU75" s="95"/>
      <c r="AV75" s="95"/>
      <c r="AW75" s="95"/>
      <c r="AX75" s="95"/>
      <c r="AY75" s="95"/>
      <c r="AZ75" s="95"/>
    </row>
    <row r="76" spans="1:52" x14ac:dyDescent="0.65">
      <c r="A76" s="87"/>
      <c r="B76" s="87"/>
      <c r="C76" s="87"/>
      <c r="D76" s="87"/>
      <c r="E76" s="90"/>
      <c r="F76" s="87"/>
      <c r="G76" s="87"/>
      <c r="H76" s="87"/>
      <c r="I76" s="87"/>
      <c r="J76" s="87"/>
      <c r="K76" s="87"/>
      <c r="L76" s="87"/>
      <c r="M76" s="87"/>
      <c r="N76" s="92"/>
      <c r="O76" s="87"/>
      <c r="P76" s="93"/>
      <c r="Q76" s="93"/>
      <c r="R76" s="93"/>
      <c r="S76" s="93"/>
      <c r="T76" s="93"/>
      <c r="U76" s="93"/>
      <c r="V76" s="93"/>
      <c r="W76" s="93"/>
      <c r="X76" s="93"/>
      <c r="Y76" s="93"/>
      <c r="Z76" s="93"/>
      <c r="AA76" s="93"/>
      <c r="AB76" s="94"/>
      <c r="AC76" s="94"/>
      <c r="AD76" s="94"/>
      <c r="AE76" s="94"/>
      <c r="AF76" s="95"/>
      <c r="AG76" s="95"/>
      <c r="AH76" s="95"/>
      <c r="AI76" s="95"/>
      <c r="AJ76" s="95"/>
      <c r="AK76" s="95"/>
      <c r="AL76" s="95"/>
      <c r="AM76" s="95"/>
      <c r="AN76" s="95"/>
      <c r="AO76" s="95"/>
      <c r="AP76" s="95"/>
      <c r="AQ76" s="95"/>
      <c r="AR76" s="95"/>
      <c r="AS76" s="95"/>
      <c r="AT76" s="95"/>
      <c r="AU76" s="95"/>
      <c r="AV76" s="95"/>
      <c r="AW76" s="95"/>
      <c r="AX76" s="95"/>
      <c r="AY76" s="95"/>
      <c r="AZ76" s="95"/>
    </row>
    <row r="77" spans="1:52" x14ac:dyDescent="0.65">
      <c r="A77" s="87"/>
      <c r="B77" s="87"/>
      <c r="C77" s="87"/>
      <c r="D77" s="87"/>
      <c r="E77" s="90"/>
      <c r="F77" s="87"/>
      <c r="G77" s="87"/>
      <c r="H77" s="87"/>
      <c r="I77" s="87"/>
      <c r="J77" s="87"/>
      <c r="K77" s="87"/>
      <c r="L77" s="87"/>
      <c r="M77" s="87"/>
      <c r="N77" s="92"/>
      <c r="O77" s="87"/>
      <c r="P77" s="93"/>
      <c r="Q77" s="93"/>
      <c r="R77" s="93"/>
      <c r="S77" s="93"/>
      <c r="T77" s="93"/>
      <c r="U77" s="93"/>
      <c r="V77" s="93"/>
      <c r="W77" s="93"/>
      <c r="X77" s="93"/>
      <c r="Y77" s="93"/>
      <c r="Z77" s="93"/>
      <c r="AA77" s="93"/>
      <c r="AB77" s="94"/>
      <c r="AC77" s="94"/>
      <c r="AD77" s="94"/>
      <c r="AE77" s="94"/>
      <c r="AF77" s="95"/>
      <c r="AG77" s="95"/>
      <c r="AH77" s="95"/>
      <c r="AI77" s="95"/>
      <c r="AJ77" s="95"/>
      <c r="AK77" s="95"/>
      <c r="AL77" s="95"/>
      <c r="AM77" s="95"/>
      <c r="AN77" s="95"/>
      <c r="AO77" s="95"/>
      <c r="AP77" s="95"/>
      <c r="AQ77" s="95"/>
      <c r="AR77" s="95"/>
      <c r="AS77" s="95"/>
      <c r="AT77" s="95"/>
      <c r="AU77" s="95"/>
      <c r="AV77" s="95"/>
      <c r="AW77" s="95"/>
      <c r="AX77" s="95"/>
      <c r="AY77" s="95"/>
      <c r="AZ77" s="95"/>
    </row>
    <row r="78" spans="1:52" x14ac:dyDescent="0.65">
      <c r="A78" s="87"/>
      <c r="B78" s="87"/>
      <c r="C78" s="87"/>
      <c r="D78" s="87"/>
      <c r="E78" s="90"/>
      <c r="F78" s="87"/>
      <c r="G78" s="87"/>
      <c r="H78" s="87"/>
      <c r="I78" s="87"/>
      <c r="J78" s="87"/>
      <c r="K78" s="87"/>
      <c r="L78" s="87"/>
      <c r="M78" s="87"/>
      <c r="N78" s="92"/>
      <c r="O78" s="87"/>
      <c r="P78" s="93"/>
      <c r="Q78" s="93"/>
      <c r="R78" s="93"/>
      <c r="S78" s="93"/>
      <c r="T78" s="93"/>
      <c r="U78" s="93"/>
      <c r="V78" s="93"/>
      <c r="W78" s="93"/>
      <c r="X78" s="93"/>
      <c r="Y78" s="93"/>
      <c r="Z78" s="93"/>
      <c r="AA78" s="93"/>
      <c r="AB78" s="94"/>
      <c r="AC78" s="94"/>
      <c r="AD78" s="94"/>
      <c r="AE78" s="94"/>
      <c r="AF78" s="95"/>
      <c r="AG78" s="95"/>
      <c r="AH78" s="95"/>
      <c r="AI78" s="95"/>
      <c r="AJ78" s="95"/>
      <c r="AK78" s="95"/>
      <c r="AL78" s="95"/>
      <c r="AM78" s="95"/>
      <c r="AN78" s="95"/>
      <c r="AO78" s="95"/>
      <c r="AP78" s="95"/>
      <c r="AQ78" s="95"/>
      <c r="AR78" s="95"/>
      <c r="AS78" s="95"/>
      <c r="AT78" s="95"/>
      <c r="AU78" s="95"/>
      <c r="AV78" s="95"/>
      <c r="AW78" s="95"/>
      <c r="AX78" s="95"/>
      <c r="AY78" s="95"/>
      <c r="AZ78" s="95"/>
    </row>
    <row r="79" spans="1:52" x14ac:dyDescent="0.65">
      <c r="A79" s="87"/>
      <c r="B79" s="87"/>
      <c r="C79" s="87"/>
      <c r="D79" s="87"/>
      <c r="E79" s="90"/>
      <c r="F79" s="87"/>
      <c r="G79" s="87"/>
      <c r="H79" s="87"/>
      <c r="I79" s="87"/>
      <c r="J79" s="87"/>
      <c r="K79" s="87"/>
      <c r="L79" s="87"/>
      <c r="M79" s="87"/>
      <c r="N79" s="92"/>
      <c r="O79" s="87"/>
      <c r="P79" s="93"/>
      <c r="Q79" s="93"/>
      <c r="R79" s="93"/>
      <c r="S79" s="93"/>
      <c r="T79" s="93"/>
      <c r="U79" s="93"/>
      <c r="V79" s="93"/>
      <c r="W79" s="93"/>
      <c r="X79" s="93"/>
      <c r="Y79" s="93"/>
      <c r="Z79" s="93"/>
      <c r="AA79" s="93"/>
      <c r="AB79" s="94"/>
      <c r="AC79" s="94"/>
      <c r="AD79" s="94"/>
      <c r="AE79" s="94"/>
      <c r="AF79" s="95"/>
      <c r="AG79" s="95"/>
      <c r="AH79" s="95"/>
      <c r="AI79" s="95"/>
      <c r="AJ79" s="95"/>
      <c r="AK79" s="95"/>
      <c r="AL79" s="95"/>
      <c r="AM79" s="95"/>
      <c r="AN79" s="95"/>
      <c r="AO79" s="95"/>
      <c r="AP79" s="95"/>
      <c r="AQ79" s="95"/>
      <c r="AR79" s="95"/>
      <c r="AS79" s="95"/>
      <c r="AT79" s="95"/>
      <c r="AU79" s="95"/>
      <c r="AV79" s="95"/>
      <c r="AW79" s="95"/>
      <c r="AX79" s="95"/>
      <c r="AY79" s="95"/>
      <c r="AZ79" s="95"/>
    </row>
    <row r="80" spans="1:52" x14ac:dyDescent="0.65">
      <c r="A80" s="87"/>
      <c r="B80" s="87"/>
      <c r="C80" s="87"/>
      <c r="D80" s="87"/>
      <c r="E80" s="90"/>
      <c r="F80" s="87"/>
      <c r="G80" s="87"/>
      <c r="H80" s="87"/>
      <c r="I80" s="87"/>
      <c r="J80" s="87"/>
      <c r="K80" s="87"/>
      <c r="L80" s="87"/>
      <c r="M80" s="87"/>
      <c r="N80" s="92"/>
      <c r="O80" s="87"/>
      <c r="P80" s="93"/>
      <c r="Q80" s="93"/>
      <c r="R80" s="93"/>
      <c r="S80" s="93"/>
      <c r="T80" s="93"/>
      <c r="U80" s="93"/>
      <c r="V80" s="93"/>
      <c r="W80" s="93"/>
      <c r="X80" s="93"/>
      <c r="Y80" s="93"/>
      <c r="Z80" s="93"/>
      <c r="AA80" s="93"/>
      <c r="AB80" s="94"/>
      <c r="AC80" s="94"/>
      <c r="AD80" s="94"/>
      <c r="AE80" s="94"/>
      <c r="AF80" s="95"/>
      <c r="AG80" s="95"/>
      <c r="AH80" s="95"/>
      <c r="AI80" s="95"/>
      <c r="AJ80" s="95"/>
      <c r="AK80" s="95"/>
      <c r="AL80" s="95"/>
      <c r="AM80" s="95"/>
      <c r="AN80" s="95"/>
      <c r="AO80" s="95"/>
      <c r="AP80" s="95"/>
      <c r="AQ80" s="95"/>
      <c r="AR80" s="95"/>
      <c r="AS80" s="95"/>
      <c r="AT80" s="95"/>
      <c r="AU80" s="95"/>
      <c r="AV80" s="95"/>
      <c r="AW80" s="95"/>
      <c r="AX80" s="95"/>
      <c r="AY80" s="95"/>
      <c r="AZ80" s="95"/>
    </row>
    <row r="81" spans="1:52" x14ac:dyDescent="0.65">
      <c r="A81" s="87"/>
      <c r="B81" s="87"/>
      <c r="C81" s="87"/>
      <c r="D81" s="87"/>
      <c r="E81" s="90"/>
      <c r="F81" s="87"/>
      <c r="G81" s="87"/>
      <c r="H81" s="87"/>
      <c r="I81" s="87"/>
      <c r="J81" s="87"/>
      <c r="K81" s="87"/>
      <c r="L81" s="87"/>
      <c r="M81" s="87"/>
      <c r="N81" s="92"/>
      <c r="O81" s="87"/>
      <c r="P81" s="93"/>
      <c r="Q81" s="93"/>
      <c r="R81" s="93"/>
      <c r="S81" s="93"/>
      <c r="T81" s="93"/>
      <c r="U81" s="93"/>
      <c r="V81" s="93"/>
      <c r="W81" s="93"/>
      <c r="X81" s="93"/>
      <c r="Y81" s="93"/>
      <c r="Z81" s="93"/>
      <c r="AA81" s="93"/>
      <c r="AB81" s="94"/>
      <c r="AC81" s="94"/>
      <c r="AD81" s="94"/>
      <c r="AE81" s="94"/>
      <c r="AF81" s="95"/>
      <c r="AG81" s="95"/>
      <c r="AH81" s="95"/>
      <c r="AI81" s="95"/>
      <c r="AJ81" s="95"/>
      <c r="AK81" s="95"/>
      <c r="AL81" s="95"/>
      <c r="AM81" s="95"/>
      <c r="AN81" s="95"/>
      <c r="AO81" s="95"/>
      <c r="AP81" s="95"/>
      <c r="AQ81" s="95"/>
      <c r="AR81" s="95"/>
      <c r="AS81" s="95"/>
      <c r="AT81" s="95"/>
      <c r="AU81" s="95"/>
      <c r="AV81" s="95"/>
      <c r="AW81" s="95"/>
      <c r="AX81" s="95"/>
      <c r="AY81" s="95"/>
      <c r="AZ81" s="95"/>
    </row>
    <row r="82" spans="1:52" x14ac:dyDescent="0.65">
      <c r="A82" s="87"/>
      <c r="B82" s="87"/>
      <c r="C82" s="87"/>
      <c r="D82" s="87"/>
      <c r="E82" s="90"/>
      <c r="F82" s="87"/>
      <c r="G82" s="87"/>
      <c r="H82" s="87"/>
      <c r="I82" s="87"/>
      <c r="J82" s="87"/>
      <c r="K82" s="87"/>
      <c r="L82" s="87"/>
      <c r="M82" s="87"/>
      <c r="N82" s="92"/>
      <c r="O82" s="87"/>
      <c r="P82" s="93"/>
      <c r="Q82" s="93"/>
      <c r="R82" s="93"/>
      <c r="S82" s="93"/>
      <c r="T82" s="93"/>
      <c r="U82" s="93"/>
      <c r="V82" s="93"/>
      <c r="W82" s="93"/>
      <c r="X82" s="93"/>
      <c r="Y82" s="93"/>
      <c r="Z82" s="93"/>
      <c r="AA82" s="93"/>
      <c r="AB82" s="94"/>
      <c r="AC82" s="94"/>
      <c r="AD82" s="94"/>
      <c r="AE82" s="94"/>
      <c r="AF82" s="95"/>
      <c r="AG82" s="95"/>
      <c r="AH82" s="95"/>
      <c r="AI82" s="95"/>
      <c r="AJ82" s="95"/>
      <c r="AK82" s="95"/>
      <c r="AL82" s="95"/>
      <c r="AM82" s="95"/>
      <c r="AN82" s="95"/>
      <c r="AO82" s="95"/>
      <c r="AP82" s="95"/>
      <c r="AQ82" s="95"/>
      <c r="AR82" s="95"/>
      <c r="AS82" s="95"/>
      <c r="AT82" s="95"/>
      <c r="AU82" s="95"/>
      <c r="AV82" s="95"/>
      <c r="AW82" s="95"/>
      <c r="AX82" s="95"/>
      <c r="AY82" s="95"/>
      <c r="AZ82" s="95"/>
    </row>
    <row r="83" spans="1:52" x14ac:dyDescent="0.65">
      <c r="A83" s="87"/>
      <c r="B83" s="87"/>
      <c r="C83" s="87"/>
      <c r="D83" s="87"/>
      <c r="E83" s="90"/>
      <c r="F83" s="87"/>
      <c r="G83" s="87"/>
      <c r="H83" s="87"/>
      <c r="I83" s="87"/>
      <c r="J83" s="87"/>
      <c r="K83" s="87"/>
      <c r="L83" s="87"/>
      <c r="M83" s="87"/>
      <c r="N83" s="92"/>
      <c r="O83" s="87"/>
      <c r="P83" s="93"/>
      <c r="Q83" s="93"/>
      <c r="R83" s="93"/>
      <c r="S83" s="93"/>
      <c r="T83" s="93"/>
      <c r="U83" s="93"/>
      <c r="V83" s="93"/>
      <c r="W83" s="93"/>
      <c r="X83" s="93"/>
      <c r="Y83" s="93"/>
      <c r="Z83" s="93"/>
      <c r="AA83" s="93"/>
      <c r="AB83" s="94"/>
      <c r="AC83" s="94"/>
      <c r="AD83" s="94"/>
      <c r="AE83" s="94"/>
      <c r="AF83" s="95"/>
      <c r="AG83" s="95"/>
      <c r="AH83" s="95"/>
      <c r="AI83" s="95"/>
      <c r="AJ83" s="95"/>
      <c r="AK83" s="95"/>
      <c r="AL83" s="95"/>
      <c r="AM83" s="95"/>
      <c r="AN83" s="95"/>
      <c r="AO83" s="95"/>
      <c r="AP83" s="95"/>
      <c r="AQ83" s="95"/>
      <c r="AR83" s="95"/>
      <c r="AS83" s="95"/>
      <c r="AT83" s="95"/>
      <c r="AU83" s="95"/>
      <c r="AV83" s="95"/>
      <c r="AW83" s="95"/>
      <c r="AX83" s="95"/>
      <c r="AY83" s="95"/>
      <c r="AZ83" s="95"/>
    </row>
    <row r="84" spans="1:52" x14ac:dyDescent="0.65">
      <c r="A84" s="87"/>
      <c r="B84" s="87"/>
      <c r="C84" s="87"/>
      <c r="D84" s="87"/>
      <c r="E84" s="90"/>
      <c r="F84" s="87"/>
      <c r="G84" s="87"/>
      <c r="H84" s="87"/>
      <c r="I84" s="87"/>
      <c r="J84" s="87"/>
      <c r="K84" s="87"/>
      <c r="L84" s="87"/>
      <c r="M84" s="87"/>
      <c r="N84" s="92"/>
      <c r="O84" s="87"/>
      <c r="P84" s="93"/>
      <c r="Q84" s="93"/>
      <c r="R84" s="93"/>
      <c r="S84" s="93"/>
      <c r="T84" s="93"/>
      <c r="U84" s="93"/>
      <c r="V84" s="93"/>
      <c r="W84" s="93"/>
      <c r="X84" s="93"/>
      <c r="Y84" s="93"/>
      <c r="Z84" s="93"/>
      <c r="AA84" s="93"/>
      <c r="AB84" s="94"/>
      <c r="AC84" s="94"/>
      <c r="AD84" s="94"/>
      <c r="AE84" s="94"/>
      <c r="AF84" s="95"/>
      <c r="AG84" s="95"/>
      <c r="AH84" s="95"/>
      <c r="AI84" s="95"/>
      <c r="AJ84" s="95"/>
      <c r="AK84" s="95"/>
      <c r="AL84" s="95"/>
      <c r="AM84" s="95"/>
      <c r="AN84" s="95"/>
      <c r="AO84" s="95"/>
      <c r="AP84" s="95"/>
      <c r="AQ84" s="95"/>
      <c r="AR84" s="95"/>
      <c r="AS84" s="95"/>
      <c r="AT84" s="95"/>
      <c r="AU84" s="95"/>
      <c r="AV84" s="95"/>
      <c r="AW84" s="95"/>
      <c r="AX84" s="95"/>
      <c r="AY84" s="95"/>
      <c r="AZ84" s="95"/>
    </row>
    <row r="85" spans="1:52" x14ac:dyDescent="0.65">
      <c r="A85" s="87"/>
      <c r="B85" s="87"/>
      <c r="C85" s="87"/>
      <c r="D85" s="87"/>
      <c r="E85" s="90"/>
      <c r="F85" s="87"/>
      <c r="G85" s="87"/>
      <c r="H85" s="87"/>
      <c r="I85" s="87"/>
      <c r="J85" s="87"/>
      <c r="K85" s="87"/>
      <c r="L85" s="87"/>
      <c r="M85" s="87"/>
      <c r="N85" s="92"/>
      <c r="O85" s="87"/>
      <c r="P85" s="93"/>
      <c r="Q85" s="93"/>
      <c r="R85" s="93"/>
      <c r="S85" s="93"/>
      <c r="T85" s="93"/>
      <c r="U85" s="93"/>
      <c r="V85" s="93"/>
      <c r="W85" s="93"/>
      <c r="X85" s="93"/>
      <c r="Y85" s="93"/>
      <c r="Z85" s="93"/>
      <c r="AA85" s="93"/>
      <c r="AB85" s="94"/>
      <c r="AC85" s="94"/>
      <c r="AD85" s="94"/>
      <c r="AE85" s="94"/>
      <c r="AF85" s="95"/>
      <c r="AG85" s="95"/>
      <c r="AH85" s="95"/>
      <c r="AI85" s="95"/>
      <c r="AJ85" s="95"/>
      <c r="AK85" s="95"/>
      <c r="AL85" s="95"/>
      <c r="AM85" s="95"/>
      <c r="AN85" s="95"/>
      <c r="AO85" s="95"/>
      <c r="AP85" s="95"/>
      <c r="AQ85" s="95"/>
      <c r="AR85" s="95"/>
      <c r="AS85" s="95"/>
      <c r="AT85" s="95"/>
      <c r="AU85" s="95"/>
      <c r="AV85" s="95"/>
      <c r="AW85" s="95"/>
      <c r="AX85" s="95"/>
      <c r="AY85" s="95"/>
      <c r="AZ85" s="95"/>
    </row>
    <row r="86" spans="1:52" x14ac:dyDescent="0.65">
      <c r="A86" s="87"/>
      <c r="B86" s="87"/>
      <c r="C86" s="87"/>
      <c r="D86" s="87"/>
      <c r="E86" s="90"/>
      <c r="F86" s="87"/>
      <c r="G86" s="87"/>
      <c r="H86" s="87"/>
      <c r="I86" s="87"/>
      <c r="J86" s="87"/>
      <c r="K86" s="87"/>
      <c r="L86" s="87"/>
      <c r="M86" s="87"/>
      <c r="N86" s="92"/>
      <c r="O86" s="87"/>
      <c r="P86" s="93"/>
      <c r="Q86" s="93"/>
      <c r="R86" s="93"/>
      <c r="S86" s="93"/>
      <c r="T86" s="93"/>
      <c r="U86" s="93"/>
      <c r="V86" s="93"/>
      <c r="W86" s="93"/>
      <c r="X86" s="93"/>
      <c r="Y86" s="93"/>
      <c r="Z86" s="93"/>
      <c r="AA86" s="93"/>
      <c r="AB86" s="94"/>
      <c r="AC86" s="94"/>
      <c r="AD86" s="94"/>
      <c r="AE86" s="94"/>
      <c r="AF86" s="95"/>
      <c r="AG86" s="95"/>
      <c r="AH86" s="95"/>
      <c r="AI86" s="95"/>
      <c r="AJ86" s="95"/>
      <c r="AK86" s="95"/>
      <c r="AL86" s="95"/>
      <c r="AM86" s="95"/>
      <c r="AN86" s="95"/>
      <c r="AO86" s="95"/>
      <c r="AP86" s="95"/>
      <c r="AQ86" s="95"/>
      <c r="AR86" s="95"/>
      <c r="AS86" s="95"/>
      <c r="AT86" s="95"/>
      <c r="AU86" s="95"/>
      <c r="AV86" s="95"/>
      <c r="AW86" s="95"/>
      <c r="AX86" s="95"/>
      <c r="AY86" s="95"/>
      <c r="AZ86" s="95"/>
    </row>
    <row r="87" spans="1:52" x14ac:dyDescent="0.65">
      <c r="A87" s="87"/>
      <c r="B87" s="87"/>
      <c r="C87" s="87"/>
      <c r="D87" s="87"/>
      <c r="E87" s="90"/>
      <c r="F87" s="87"/>
      <c r="G87" s="87"/>
      <c r="H87" s="87"/>
      <c r="I87" s="87"/>
      <c r="J87" s="87"/>
      <c r="K87" s="87"/>
      <c r="L87" s="87"/>
      <c r="M87" s="87"/>
      <c r="N87" s="92"/>
      <c r="O87" s="87"/>
      <c r="P87" s="93"/>
      <c r="Q87" s="93"/>
      <c r="R87" s="93"/>
      <c r="S87" s="93"/>
      <c r="T87" s="93"/>
      <c r="U87" s="93"/>
      <c r="V87" s="93"/>
      <c r="W87" s="93"/>
      <c r="X87" s="93"/>
      <c r="Y87" s="93"/>
      <c r="Z87" s="93"/>
      <c r="AA87" s="93"/>
      <c r="AB87" s="94"/>
      <c r="AC87" s="94"/>
      <c r="AD87" s="94"/>
      <c r="AE87" s="94"/>
      <c r="AF87" s="95"/>
      <c r="AG87" s="95"/>
      <c r="AH87" s="95"/>
      <c r="AI87" s="95"/>
      <c r="AJ87" s="95"/>
      <c r="AK87" s="95"/>
      <c r="AL87" s="95"/>
      <c r="AM87" s="95"/>
      <c r="AN87" s="95"/>
      <c r="AO87" s="95"/>
      <c r="AP87" s="95"/>
      <c r="AQ87" s="95"/>
      <c r="AR87" s="95"/>
      <c r="AS87" s="95"/>
      <c r="AT87" s="95"/>
      <c r="AU87" s="95"/>
      <c r="AV87" s="95"/>
      <c r="AW87" s="95"/>
      <c r="AX87" s="95"/>
      <c r="AY87" s="95"/>
      <c r="AZ87" s="95"/>
    </row>
    <row r="88" spans="1:52" x14ac:dyDescent="0.65">
      <c r="A88" s="87"/>
      <c r="B88" s="87"/>
      <c r="C88" s="87"/>
      <c r="D88" s="87"/>
      <c r="E88" s="90"/>
      <c r="F88" s="87"/>
      <c r="G88" s="87"/>
      <c r="H88" s="87"/>
      <c r="I88" s="87"/>
      <c r="J88" s="87"/>
      <c r="K88" s="87"/>
      <c r="L88" s="87"/>
      <c r="M88" s="87"/>
      <c r="N88" s="92"/>
      <c r="O88" s="87"/>
      <c r="P88" s="93"/>
      <c r="Q88" s="93"/>
      <c r="R88" s="93"/>
      <c r="S88" s="93"/>
      <c r="T88" s="93"/>
      <c r="U88" s="93"/>
      <c r="V88" s="93"/>
      <c r="W88" s="93"/>
      <c r="X88" s="93"/>
      <c r="Y88" s="93"/>
      <c r="Z88" s="93"/>
      <c r="AA88" s="93"/>
      <c r="AB88" s="94"/>
      <c r="AC88" s="94"/>
      <c r="AD88" s="94"/>
      <c r="AE88" s="94"/>
      <c r="AF88" s="95"/>
      <c r="AG88" s="95"/>
      <c r="AH88" s="95"/>
      <c r="AI88" s="95"/>
      <c r="AJ88" s="95"/>
      <c r="AK88" s="95"/>
      <c r="AL88" s="95"/>
      <c r="AM88" s="95"/>
      <c r="AN88" s="95"/>
      <c r="AO88" s="95"/>
      <c r="AP88" s="95"/>
      <c r="AQ88" s="95"/>
      <c r="AR88" s="95"/>
      <c r="AS88" s="95"/>
      <c r="AT88" s="95"/>
      <c r="AU88" s="95"/>
      <c r="AV88" s="95"/>
      <c r="AW88" s="95"/>
      <c r="AX88" s="95"/>
      <c r="AY88" s="95"/>
      <c r="AZ88" s="95"/>
    </row>
    <row r="89" spans="1:52" x14ac:dyDescent="0.65">
      <c r="A89" s="87"/>
      <c r="B89" s="87"/>
      <c r="C89" s="87"/>
      <c r="D89" s="87"/>
      <c r="E89" s="90"/>
      <c r="F89" s="87"/>
      <c r="G89" s="87"/>
      <c r="H89" s="87"/>
      <c r="I89" s="87"/>
      <c r="J89" s="87"/>
      <c r="K89" s="87"/>
      <c r="L89" s="87"/>
      <c r="M89" s="87"/>
      <c r="N89" s="92"/>
      <c r="O89" s="87"/>
      <c r="P89" s="93"/>
      <c r="Q89" s="93"/>
      <c r="R89" s="93"/>
      <c r="S89" s="93"/>
      <c r="T89" s="93"/>
      <c r="U89" s="93"/>
      <c r="V89" s="93"/>
      <c r="W89" s="93"/>
      <c r="X89" s="93"/>
      <c r="Y89" s="93"/>
      <c r="Z89" s="93"/>
      <c r="AA89" s="93"/>
      <c r="AB89" s="94"/>
      <c r="AC89" s="94"/>
      <c r="AD89" s="94"/>
      <c r="AE89" s="94"/>
      <c r="AF89" s="95"/>
      <c r="AG89" s="95"/>
      <c r="AH89" s="95"/>
      <c r="AI89" s="95"/>
      <c r="AJ89" s="95"/>
      <c r="AK89" s="95"/>
      <c r="AL89" s="95"/>
      <c r="AM89" s="95"/>
      <c r="AN89" s="95"/>
      <c r="AO89" s="95"/>
      <c r="AP89" s="95"/>
      <c r="AQ89" s="95"/>
      <c r="AR89" s="95"/>
      <c r="AS89" s="95"/>
      <c r="AT89" s="95"/>
      <c r="AU89" s="95"/>
      <c r="AV89" s="95"/>
      <c r="AW89" s="95"/>
      <c r="AX89" s="95"/>
      <c r="AY89" s="95"/>
      <c r="AZ89" s="95"/>
    </row>
    <row r="90" spans="1:52" x14ac:dyDescent="0.65">
      <c r="A90" s="87"/>
      <c r="B90" s="87"/>
      <c r="C90" s="87"/>
      <c r="D90" s="87"/>
      <c r="E90" s="90"/>
      <c r="F90" s="87"/>
      <c r="G90" s="87"/>
      <c r="H90" s="87"/>
      <c r="I90" s="87"/>
      <c r="J90" s="87"/>
      <c r="K90" s="87"/>
      <c r="L90" s="87"/>
      <c r="M90" s="87"/>
      <c r="N90" s="92"/>
      <c r="O90" s="87"/>
      <c r="P90" s="93"/>
      <c r="Q90" s="93"/>
      <c r="R90" s="93"/>
      <c r="S90" s="93"/>
      <c r="T90" s="93"/>
      <c r="U90" s="93"/>
      <c r="V90" s="93"/>
      <c r="W90" s="93"/>
      <c r="X90" s="93"/>
      <c r="Y90" s="93"/>
      <c r="Z90" s="93"/>
      <c r="AA90" s="93"/>
      <c r="AB90" s="94"/>
      <c r="AC90" s="94"/>
      <c r="AD90" s="94"/>
      <c r="AE90" s="94"/>
      <c r="AF90" s="95"/>
      <c r="AG90" s="95"/>
      <c r="AH90" s="95"/>
      <c r="AI90" s="95"/>
      <c r="AJ90" s="95"/>
      <c r="AK90" s="95"/>
      <c r="AL90" s="95"/>
      <c r="AM90" s="95"/>
      <c r="AN90" s="95"/>
      <c r="AO90" s="95"/>
      <c r="AP90" s="95"/>
      <c r="AQ90" s="95"/>
      <c r="AR90" s="95"/>
      <c r="AS90" s="95"/>
      <c r="AT90" s="95"/>
      <c r="AU90" s="95"/>
      <c r="AV90" s="95"/>
      <c r="AW90" s="95"/>
      <c r="AX90" s="95"/>
      <c r="AY90" s="95"/>
      <c r="AZ90" s="95"/>
    </row>
    <row r="91" spans="1:52" x14ac:dyDescent="0.65">
      <c r="A91" s="87"/>
      <c r="B91" s="87"/>
      <c r="C91" s="87"/>
      <c r="D91" s="87"/>
      <c r="E91" s="90"/>
      <c r="F91" s="87"/>
      <c r="G91" s="87"/>
      <c r="H91" s="87"/>
      <c r="I91" s="87"/>
      <c r="J91" s="87"/>
      <c r="K91" s="87"/>
      <c r="L91" s="87"/>
      <c r="M91" s="87"/>
      <c r="N91" s="92"/>
      <c r="O91" s="87"/>
      <c r="P91" s="93"/>
      <c r="Q91" s="93"/>
      <c r="R91" s="93"/>
      <c r="S91" s="93"/>
      <c r="T91" s="93"/>
      <c r="U91" s="93"/>
      <c r="V91" s="93"/>
      <c r="W91" s="93"/>
      <c r="X91" s="93"/>
      <c r="Y91" s="93"/>
      <c r="Z91" s="93"/>
      <c r="AA91" s="93"/>
      <c r="AB91" s="94"/>
      <c r="AC91" s="94"/>
      <c r="AD91" s="94"/>
      <c r="AE91" s="94"/>
      <c r="AF91" s="95"/>
      <c r="AG91" s="95"/>
      <c r="AH91" s="95"/>
      <c r="AI91" s="95"/>
      <c r="AJ91" s="95"/>
      <c r="AK91" s="95"/>
      <c r="AL91" s="95"/>
      <c r="AM91" s="95"/>
      <c r="AN91" s="95"/>
      <c r="AO91" s="95"/>
      <c r="AP91" s="95"/>
      <c r="AQ91" s="95"/>
      <c r="AR91" s="95"/>
      <c r="AS91" s="95"/>
      <c r="AT91" s="95"/>
      <c r="AU91" s="95"/>
      <c r="AV91" s="95"/>
      <c r="AW91" s="95"/>
      <c r="AX91" s="95"/>
      <c r="AY91" s="95"/>
      <c r="AZ91" s="95"/>
    </row>
    <row r="92" spans="1:52" x14ac:dyDescent="0.65">
      <c r="A92" s="87"/>
      <c r="B92" s="87"/>
      <c r="C92" s="87"/>
      <c r="D92" s="87"/>
      <c r="E92" s="90"/>
      <c r="F92" s="87"/>
      <c r="G92" s="87"/>
      <c r="H92" s="87"/>
      <c r="I92" s="87"/>
      <c r="J92" s="87"/>
      <c r="K92" s="87"/>
      <c r="L92" s="87"/>
      <c r="M92" s="87"/>
      <c r="N92" s="92"/>
      <c r="O92" s="87"/>
      <c r="P92" s="93"/>
      <c r="Q92" s="93"/>
      <c r="R92" s="93"/>
      <c r="S92" s="93"/>
      <c r="T92" s="93"/>
      <c r="U92" s="93"/>
      <c r="V92" s="93"/>
      <c r="W92" s="93"/>
      <c r="X92" s="93"/>
      <c r="Y92" s="93"/>
      <c r="Z92" s="93"/>
      <c r="AA92" s="93"/>
      <c r="AB92" s="94"/>
      <c r="AC92" s="94"/>
      <c r="AD92" s="94"/>
      <c r="AE92" s="94"/>
      <c r="AF92" s="95"/>
      <c r="AG92" s="95"/>
      <c r="AH92" s="95"/>
      <c r="AI92" s="95"/>
      <c r="AJ92" s="95"/>
      <c r="AK92" s="95"/>
      <c r="AL92" s="95"/>
      <c r="AM92" s="95"/>
      <c r="AN92" s="95"/>
      <c r="AO92" s="95"/>
      <c r="AP92" s="95"/>
      <c r="AQ92" s="95"/>
      <c r="AR92" s="95"/>
      <c r="AS92" s="95"/>
      <c r="AT92" s="95"/>
      <c r="AU92" s="95"/>
      <c r="AV92" s="95"/>
      <c r="AW92" s="95"/>
      <c r="AX92" s="95"/>
      <c r="AY92" s="95"/>
      <c r="AZ92" s="95"/>
    </row>
    <row r="93" spans="1:52" x14ac:dyDescent="0.65">
      <c r="A93" s="87"/>
      <c r="B93" s="87"/>
      <c r="C93" s="87"/>
      <c r="D93" s="87"/>
      <c r="E93" s="90"/>
      <c r="F93" s="87"/>
      <c r="G93" s="87"/>
      <c r="H93" s="87"/>
      <c r="I93" s="87"/>
      <c r="J93" s="87"/>
      <c r="K93" s="87"/>
      <c r="L93" s="87"/>
      <c r="M93" s="87"/>
      <c r="N93" s="92"/>
      <c r="O93" s="87"/>
      <c r="P93" s="93"/>
      <c r="Q93" s="93"/>
      <c r="R93" s="93"/>
      <c r="S93" s="93"/>
      <c r="T93" s="93"/>
      <c r="U93" s="93"/>
      <c r="V93" s="93"/>
      <c r="W93" s="93"/>
      <c r="X93" s="93"/>
      <c r="Y93" s="93"/>
      <c r="Z93" s="93"/>
      <c r="AA93" s="93"/>
      <c r="AB93" s="94"/>
      <c r="AC93" s="94"/>
      <c r="AD93" s="94"/>
      <c r="AE93" s="94"/>
      <c r="AF93" s="95"/>
      <c r="AG93" s="95"/>
      <c r="AH93" s="95"/>
      <c r="AI93" s="95"/>
      <c r="AJ93" s="95"/>
      <c r="AK93" s="95"/>
      <c r="AL93" s="95"/>
      <c r="AM93" s="95"/>
      <c r="AN93" s="95"/>
      <c r="AO93" s="95"/>
      <c r="AP93" s="95"/>
      <c r="AQ93" s="95"/>
      <c r="AR93" s="95"/>
      <c r="AS93" s="95"/>
      <c r="AT93" s="95"/>
      <c r="AU93" s="95"/>
      <c r="AV93" s="95"/>
      <c r="AW93" s="95"/>
      <c r="AX93" s="95"/>
      <c r="AY93" s="95"/>
      <c r="AZ93" s="95"/>
    </row>
    <row r="94" spans="1:52" x14ac:dyDescent="0.65">
      <c r="A94" s="87"/>
      <c r="B94" s="87"/>
      <c r="C94" s="87"/>
      <c r="D94" s="87"/>
      <c r="E94" s="90"/>
      <c r="F94" s="87"/>
      <c r="G94" s="87"/>
      <c r="H94" s="87"/>
      <c r="I94" s="87"/>
      <c r="J94" s="87"/>
      <c r="K94" s="87"/>
      <c r="L94" s="87"/>
      <c r="M94" s="87"/>
      <c r="N94" s="92"/>
      <c r="O94" s="87"/>
      <c r="P94" s="93"/>
      <c r="Q94" s="93"/>
      <c r="R94" s="93"/>
      <c r="S94" s="93"/>
      <c r="T94" s="93"/>
      <c r="U94" s="93"/>
      <c r="V94" s="93"/>
      <c r="W94" s="93"/>
      <c r="X94" s="93"/>
      <c r="Y94" s="93"/>
      <c r="Z94" s="93"/>
      <c r="AA94" s="93"/>
      <c r="AB94" s="94"/>
      <c r="AC94" s="94"/>
      <c r="AD94" s="94"/>
      <c r="AE94" s="94"/>
      <c r="AF94" s="95"/>
      <c r="AG94" s="95"/>
      <c r="AH94" s="95"/>
      <c r="AI94" s="95"/>
      <c r="AJ94" s="95"/>
      <c r="AK94" s="95"/>
      <c r="AL94" s="95"/>
      <c r="AM94" s="95"/>
      <c r="AN94" s="95"/>
      <c r="AO94" s="95"/>
      <c r="AP94" s="95"/>
      <c r="AQ94" s="95"/>
      <c r="AR94" s="95"/>
      <c r="AS94" s="95"/>
      <c r="AT94" s="95"/>
      <c r="AU94" s="95"/>
      <c r="AV94" s="95"/>
      <c r="AW94" s="95"/>
      <c r="AX94" s="95"/>
      <c r="AY94" s="95"/>
      <c r="AZ94" s="95"/>
    </row>
    <row r="95" spans="1:52" x14ac:dyDescent="0.65">
      <c r="A95" s="87"/>
      <c r="B95" s="87"/>
      <c r="C95" s="87"/>
      <c r="D95" s="87"/>
      <c r="E95" s="96"/>
      <c r="F95" s="87"/>
      <c r="G95" s="91"/>
      <c r="H95" s="87"/>
      <c r="I95" s="87"/>
      <c r="J95" s="87"/>
      <c r="K95" s="87"/>
      <c r="L95" s="87"/>
      <c r="M95" s="87"/>
      <c r="N95" s="97"/>
      <c r="O95" s="87"/>
      <c r="P95" s="93"/>
      <c r="Q95" s="93"/>
      <c r="R95" s="93"/>
      <c r="S95" s="93"/>
      <c r="T95" s="93"/>
      <c r="U95" s="93"/>
      <c r="V95" s="93"/>
      <c r="W95" s="93"/>
      <c r="X95" s="93"/>
      <c r="Y95" s="93"/>
      <c r="Z95" s="93"/>
      <c r="AA95" s="93"/>
      <c r="AB95" s="94"/>
      <c r="AC95" s="94"/>
      <c r="AD95" s="94"/>
      <c r="AE95" s="94"/>
      <c r="AF95" s="95"/>
      <c r="AG95" s="95"/>
      <c r="AH95" s="95"/>
      <c r="AI95" s="95"/>
      <c r="AJ95" s="95"/>
      <c r="AK95" s="95"/>
      <c r="AL95" s="95"/>
      <c r="AM95" s="95"/>
      <c r="AN95" s="95"/>
      <c r="AO95" s="95"/>
      <c r="AP95" s="95"/>
      <c r="AQ95" s="95"/>
      <c r="AR95" s="95"/>
      <c r="AS95" s="95"/>
      <c r="AT95" s="95"/>
      <c r="AU95" s="95"/>
      <c r="AV95" s="95"/>
      <c r="AW95" s="95"/>
      <c r="AX95" s="95"/>
      <c r="AY95" s="95"/>
      <c r="AZ95" s="95"/>
    </row>
    <row r="96" spans="1:52" x14ac:dyDescent="0.65">
      <c r="A96" s="87"/>
      <c r="B96" s="87"/>
      <c r="C96" s="87"/>
      <c r="D96" s="87"/>
      <c r="E96" s="96"/>
      <c r="F96" s="87"/>
      <c r="G96" s="87"/>
      <c r="H96" s="87"/>
      <c r="I96" s="87"/>
      <c r="J96" s="87"/>
      <c r="K96" s="87"/>
      <c r="L96" s="87"/>
      <c r="M96" s="87"/>
      <c r="N96" s="97"/>
      <c r="O96" s="87"/>
      <c r="P96" s="93"/>
      <c r="Q96" s="93"/>
      <c r="R96" s="93"/>
      <c r="S96" s="93"/>
      <c r="T96" s="93"/>
      <c r="U96" s="93"/>
      <c r="V96" s="93"/>
      <c r="W96" s="93"/>
      <c r="X96" s="93"/>
      <c r="Y96" s="93"/>
      <c r="Z96" s="93"/>
      <c r="AA96" s="93"/>
      <c r="AB96" s="94"/>
      <c r="AC96" s="94"/>
      <c r="AD96" s="94"/>
      <c r="AE96" s="94"/>
      <c r="AF96" s="95"/>
      <c r="AG96" s="95"/>
      <c r="AH96" s="95"/>
      <c r="AI96" s="95"/>
      <c r="AJ96" s="95"/>
      <c r="AK96" s="95"/>
      <c r="AL96" s="95"/>
      <c r="AM96" s="95"/>
      <c r="AN96" s="95"/>
      <c r="AO96" s="95"/>
      <c r="AP96" s="95"/>
      <c r="AQ96" s="95"/>
      <c r="AR96" s="95"/>
      <c r="AS96" s="95"/>
      <c r="AT96" s="95"/>
      <c r="AU96" s="95"/>
      <c r="AV96" s="95"/>
      <c r="AW96" s="95"/>
      <c r="AX96" s="95"/>
      <c r="AY96" s="95"/>
      <c r="AZ96" s="95"/>
    </row>
    <row r="97" spans="1:52" x14ac:dyDescent="0.65">
      <c r="A97" s="87"/>
      <c r="B97" s="87"/>
      <c r="C97" s="87"/>
      <c r="D97" s="87"/>
      <c r="E97" s="96"/>
      <c r="F97" s="87"/>
      <c r="G97" s="87"/>
      <c r="H97" s="87"/>
      <c r="I97" s="87"/>
      <c r="J97" s="87"/>
      <c r="K97" s="87"/>
      <c r="L97" s="87"/>
      <c r="M97" s="87"/>
      <c r="N97" s="97"/>
      <c r="O97" s="90"/>
      <c r="P97" s="93"/>
      <c r="Q97" s="93"/>
      <c r="R97" s="93"/>
      <c r="S97" s="93"/>
      <c r="T97" s="93"/>
      <c r="U97" s="93"/>
      <c r="V97" s="93"/>
      <c r="W97" s="93"/>
      <c r="X97" s="93"/>
      <c r="Y97" s="93"/>
      <c r="Z97" s="93"/>
      <c r="AA97" s="93"/>
      <c r="AB97" s="94"/>
      <c r="AC97" s="94"/>
      <c r="AD97" s="94"/>
      <c r="AE97" s="94"/>
      <c r="AF97" s="95"/>
      <c r="AG97" s="95"/>
      <c r="AH97" s="95"/>
      <c r="AI97" s="95"/>
      <c r="AJ97" s="95"/>
      <c r="AK97" s="95"/>
      <c r="AL97" s="95"/>
      <c r="AM97" s="95"/>
      <c r="AN97" s="95"/>
      <c r="AO97" s="95"/>
      <c r="AP97" s="95"/>
      <c r="AQ97" s="95"/>
      <c r="AR97" s="95"/>
      <c r="AS97" s="95"/>
      <c r="AT97" s="95"/>
      <c r="AU97" s="95"/>
      <c r="AV97" s="95"/>
      <c r="AW97" s="95"/>
      <c r="AX97" s="95"/>
      <c r="AY97" s="95"/>
      <c r="AZ97" s="95"/>
    </row>
    <row r="98" spans="1:52" x14ac:dyDescent="0.65">
      <c r="A98" s="87"/>
      <c r="B98" s="87"/>
      <c r="C98" s="87"/>
      <c r="D98" s="87"/>
      <c r="E98" s="96"/>
      <c r="F98" s="87"/>
      <c r="G98" s="87"/>
      <c r="H98" s="87"/>
      <c r="I98" s="87"/>
      <c r="J98" s="87"/>
      <c r="K98" s="87"/>
      <c r="L98" s="87"/>
      <c r="M98" s="87"/>
      <c r="N98" s="97"/>
      <c r="O98" s="87"/>
      <c r="P98" s="93"/>
      <c r="Q98" s="93"/>
      <c r="R98" s="93"/>
      <c r="S98" s="93"/>
      <c r="T98" s="93"/>
      <c r="U98" s="93"/>
      <c r="V98" s="93"/>
      <c r="W98" s="93"/>
      <c r="X98" s="93"/>
      <c r="Y98" s="93"/>
      <c r="Z98" s="93"/>
      <c r="AA98" s="93"/>
      <c r="AB98" s="94"/>
      <c r="AC98" s="94"/>
      <c r="AD98" s="94"/>
      <c r="AE98" s="94"/>
      <c r="AF98" s="95"/>
      <c r="AG98" s="95"/>
      <c r="AH98" s="95"/>
      <c r="AI98" s="95"/>
      <c r="AJ98" s="95"/>
      <c r="AK98" s="95"/>
      <c r="AM98" s="95"/>
      <c r="AN98" s="95"/>
      <c r="AO98" s="95"/>
      <c r="AP98" s="95"/>
      <c r="AQ98" s="95"/>
      <c r="AR98" s="95"/>
      <c r="AS98" s="95"/>
      <c r="AT98" s="95"/>
      <c r="AU98" s="95"/>
      <c r="AV98" s="95"/>
      <c r="AW98" s="95"/>
      <c r="AX98" s="95"/>
      <c r="AY98" s="95"/>
      <c r="AZ98" s="95"/>
    </row>
    <row r="99" spans="1:52" x14ac:dyDescent="0.65">
      <c r="A99" s="87"/>
      <c r="B99" s="87"/>
      <c r="C99" s="87"/>
      <c r="D99" s="87"/>
      <c r="E99" s="96"/>
      <c r="F99" s="87"/>
      <c r="G99" s="91"/>
      <c r="H99" s="87"/>
      <c r="I99" s="87"/>
      <c r="J99" s="87"/>
      <c r="K99" s="87"/>
      <c r="L99" s="87"/>
      <c r="M99" s="87"/>
      <c r="N99" s="97"/>
      <c r="O99" s="87"/>
      <c r="P99" s="93"/>
      <c r="Q99" s="93"/>
      <c r="R99" s="93"/>
      <c r="S99" s="93"/>
      <c r="T99" s="93"/>
      <c r="U99" s="93"/>
      <c r="V99" s="93"/>
      <c r="W99" s="93"/>
      <c r="X99" s="93"/>
      <c r="Y99" s="93"/>
      <c r="Z99" s="93"/>
      <c r="AA99" s="93"/>
      <c r="AB99" s="94"/>
      <c r="AC99" s="94"/>
      <c r="AD99" s="94"/>
      <c r="AE99" s="94"/>
      <c r="AF99" s="95"/>
      <c r="AG99" s="95"/>
      <c r="AH99" s="95"/>
      <c r="AI99" s="95"/>
      <c r="AJ99" s="95"/>
      <c r="AK99" s="95"/>
      <c r="AL99" s="95"/>
      <c r="AM99" s="95"/>
      <c r="AN99" s="95"/>
      <c r="AO99" s="95"/>
      <c r="AP99" s="95"/>
      <c r="AQ99" s="95"/>
      <c r="AR99" s="95"/>
      <c r="AS99" s="95"/>
      <c r="AT99" s="95"/>
      <c r="AU99" s="95"/>
      <c r="AV99" s="95"/>
      <c r="AW99" s="95"/>
      <c r="AX99" s="95"/>
      <c r="AY99" s="95"/>
      <c r="AZ99" s="95"/>
    </row>
    <row r="100" spans="1:52" x14ac:dyDescent="0.65">
      <c r="A100" s="87"/>
      <c r="B100" s="87"/>
      <c r="C100" s="87"/>
      <c r="D100" s="87"/>
      <c r="E100" s="96"/>
      <c r="F100" s="87"/>
      <c r="G100" s="87"/>
      <c r="H100" s="87"/>
      <c r="I100" s="87"/>
      <c r="J100" s="87"/>
      <c r="K100" s="87"/>
      <c r="L100" s="87"/>
      <c r="M100" s="87"/>
      <c r="N100" s="97"/>
      <c r="O100" s="87"/>
      <c r="P100" s="93"/>
      <c r="Q100" s="93"/>
      <c r="R100" s="93"/>
      <c r="S100" s="93"/>
      <c r="T100" s="93"/>
      <c r="U100" s="93"/>
      <c r="V100" s="93"/>
      <c r="W100" s="93"/>
      <c r="X100" s="93"/>
      <c r="Y100" s="93"/>
      <c r="Z100" s="93"/>
      <c r="AA100" s="93"/>
      <c r="AB100" s="94"/>
      <c r="AC100" s="94"/>
      <c r="AD100" s="94"/>
      <c r="AE100" s="94"/>
      <c r="AF100" s="95"/>
      <c r="AG100" s="95"/>
      <c r="AH100" s="95"/>
      <c r="AI100" s="95"/>
      <c r="AJ100" s="95"/>
      <c r="AK100" s="95"/>
      <c r="AL100" s="95"/>
      <c r="AM100" s="95"/>
      <c r="AN100" s="95"/>
      <c r="AO100" s="95"/>
      <c r="AP100" s="95"/>
      <c r="AQ100" s="95"/>
      <c r="AR100" s="95"/>
      <c r="AS100" s="95"/>
      <c r="AT100" s="95"/>
      <c r="AU100" s="95"/>
      <c r="AV100" s="95"/>
      <c r="AW100" s="95"/>
      <c r="AX100" s="95"/>
      <c r="AY100" s="95"/>
      <c r="AZ100" s="95"/>
    </row>
    <row r="101" spans="1:52" x14ac:dyDescent="0.65">
      <c r="A101" s="87"/>
      <c r="B101" s="87"/>
      <c r="C101" s="87"/>
      <c r="D101" s="91"/>
      <c r="E101" s="96"/>
      <c r="F101" s="87"/>
      <c r="G101" s="87"/>
      <c r="H101" s="87"/>
      <c r="I101" s="87"/>
      <c r="J101" s="87"/>
      <c r="K101" s="87"/>
      <c r="L101" s="87"/>
      <c r="M101" s="87"/>
      <c r="N101" s="97"/>
      <c r="O101" s="87"/>
      <c r="P101" s="93"/>
      <c r="Q101" s="93"/>
      <c r="R101" s="93"/>
      <c r="S101" s="93"/>
      <c r="T101" s="93"/>
      <c r="U101" s="93"/>
      <c r="V101" s="93"/>
      <c r="W101" s="93"/>
      <c r="X101" s="93"/>
      <c r="Y101" s="93"/>
      <c r="Z101" s="93"/>
      <c r="AA101" s="93"/>
      <c r="AB101" s="94"/>
      <c r="AC101" s="94"/>
      <c r="AD101" s="94"/>
      <c r="AE101" s="94"/>
      <c r="AF101" s="95"/>
      <c r="AG101" s="95"/>
      <c r="AH101" s="95"/>
      <c r="AI101" s="95"/>
      <c r="AJ101" s="95"/>
      <c r="AK101" s="95"/>
      <c r="AL101" s="95"/>
      <c r="AM101" s="95"/>
      <c r="AN101" s="95"/>
      <c r="AO101" s="95"/>
      <c r="AP101" s="95"/>
      <c r="AQ101" s="95"/>
      <c r="AR101" s="95"/>
      <c r="AS101" s="95"/>
      <c r="AT101" s="95"/>
      <c r="AU101" s="95"/>
      <c r="AV101" s="95"/>
      <c r="AW101" s="95"/>
      <c r="AX101" s="95"/>
      <c r="AY101" s="95"/>
      <c r="AZ101" s="95"/>
    </row>
    <row r="102" spans="1:52" x14ac:dyDescent="0.65">
      <c r="A102" s="87"/>
      <c r="B102" s="87"/>
      <c r="C102" s="87"/>
      <c r="D102" s="91"/>
      <c r="E102" s="96"/>
      <c r="F102" s="87"/>
      <c r="G102" s="87"/>
      <c r="H102" s="87"/>
      <c r="I102" s="87"/>
      <c r="J102" s="87"/>
      <c r="K102" s="87"/>
      <c r="L102" s="87"/>
      <c r="M102" s="87"/>
      <c r="N102" s="97"/>
      <c r="O102" s="87"/>
      <c r="P102" s="93"/>
      <c r="Q102" s="93"/>
      <c r="R102" s="93"/>
      <c r="S102" s="93"/>
      <c r="T102" s="93"/>
      <c r="U102" s="93"/>
      <c r="V102" s="93"/>
      <c r="W102" s="93"/>
      <c r="X102" s="93"/>
      <c r="Y102" s="93"/>
      <c r="Z102" s="93"/>
      <c r="AA102" s="93"/>
      <c r="AB102" s="94"/>
      <c r="AC102" s="94"/>
      <c r="AD102" s="94"/>
      <c r="AE102" s="94"/>
      <c r="AF102" s="95"/>
      <c r="AG102" s="95"/>
      <c r="AH102" s="95"/>
      <c r="AI102" s="95"/>
      <c r="AJ102" s="95"/>
      <c r="AK102" s="95"/>
      <c r="AL102" s="95"/>
      <c r="AM102" s="95"/>
      <c r="AN102" s="95"/>
      <c r="AO102" s="95"/>
      <c r="AP102" s="95"/>
      <c r="AQ102" s="95"/>
      <c r="AR102" s="95"/>
      <c r="AS102" s="95"/>
      <c r="AT102" s="95"/>
      <c r="AU102" s="95"/>
      <c r="AV102" s="95"/>
      <c r="AW102" s="95"/>
      <c r="AX102" s="95"/>
      <c r="AY102" s="95"/>
      <c r="AZ102" s="95"/>
    </row>
    <row r="103" spans="1:52" x14ac:dyDescent="0.65">
      <c r="A103" s="87"/>
      <c r="B103" s="87"/>
      <c r="C103" s="87"/>
      <c r="D103" s="91"/>
      <c r="E103" s="96"/>
      <c r="F103" s="87"/>
      <c r="G103" s="87"/>
      <c r="H103" s="87"/>
      <c r="I103" s="87"/>
      <c r="J103" s="87"/>
      <c r="K103" s="87"/>
      <c r="L103" s="87"/>
      <c r="M103" s="87"/>
      <c r="N103" s="97"/>
      <c r="O103" s="87"/>
      <c r="P103" s="93"/>
      <c r="Q103" s="93"/>
      <c r="R103" s="93"/>
      <c r="S103" s="93"/>
      <c r="T103" s="93"/>
      <c r="U103" s="93"/>
      <c r="V103" s="93"/>
      <c r="W103" s="93"/>
      <c r="X103" s="93"/>
      <c r="Y103" s="93"/>
      <c r="Z103" s="93"/>
      <c r="AA103" s="93"/>
      <c r="AB103" s="94"/>
      <c r="AC103" s="94"/>
      <c r="AD103" s="94"/>
      <c r="AE103" s="94"/>
      <c r="AF103" s="95"/>
      <c r="AG103" s="95"/>
      <c r="AH103" s="95"/>
      <c r="AI103" s="95"/>
      <c r="AJ103" s="95"/>
      <c r="AK103" s="95"/>
      <c r="AL103" s="95"/>
      <c r="AM103" s="95"/>
      <c r="AN103" s="95"/>
      <c r="AO103" s="95"/>
      <c r="AP103" s="95"/>
      <c r="AQ103" s="95"/>
      <c r="AR103" s="95"/>
      <c r="AS103" s="95"/>
      <c r="AT103" s="95"/>
      <c r="AU103" s="95"/>
      <c r="AV103" s="95"/>
      <c r="AW103" s="95"/>
      <c r="AX103" s="95"/>
      <c r="AY103" s="95"/>
      <c r="AZ103" s="95"/>
    </row>
    <row r="104" spans="1:52" x14ac:dyDescent="0.65">
      <c r="A104" s="87"/>
      <c r="B104" s="87"/>
      <c r="C104" s="87"/>
      <c r="D104" s="91"/>
      <c r="E104" s="96"/>
      <c r="F104" s="87"/>
      <c r="G104" s="87"/>
      <c r="H104" s="87"/>
      <c r="I104" s="87"/>
      <c r="J104" s="87"/>
      <c r="K104" s="87"/>
      <c r="L104" s="87"/>
      <c r="M104" s="87"/>
      <c r="N104" s="97"/>
      <c r="O104" s="87"/>
      <c r="P104" s="93"/>
      <c r="Q104" s="93"/>
      <c r="R104" s="93"/>
      <c r="S104" s="93"/>
      <c r="T104" s="93"/>
      <c r="U104" s="93"/>
      <c r="V104" s="93"/>
      <c r="W104" s="93"/>
      <c r="X104" s="93"/>
      <c r="Y104" s="93"/>
      <c r="Z104" s="93"/>
      <c r="AA104" s="93"/>
      <c r="AB104" s="94"/>
      <c r="AC104" s="94"/>
      <c r="AD104" s="94"/>
      <c r="AE104" s="94"/>
      <c r="AF104" s="95"/>
      <c r="AG104" s="95"/>
      <c r="AH104" s="95"/>
      <c r="AI104" s="95"/>
      <c r="AJ104" s="95"/>
      <c r="AK104" s="95"/>
      <c r="AL104" s="95"/>
      <c r="AM104" s="95"/>
      <c r="AN104" s="95"/>
      <c r="AO104" s="95"/>
      <c r="AP104" s="95"/>
      <c r="AQ104" s="95"/>
      <c r="AR104" s="95"/>
      <c r="AS104" s="95"/>
      <c r="AT104" s="95"/>
      <c r="AU104" s="95"/>
      <c r="AV104" s="95"/>
      <c r="AW104" s="95"/>
      <c r="AX104" s="95"/>
      <c r="AY104" s="95"/>
      <c r="AZ104" s="95"/>
    </row>
    <row r="105" spans="1:52" x14ac:dyDescent="0.65">
      <c r="A105" s="87"/>
      <c r="B105" s="87"/>
      <c r="C105" s="87"/>
      <c r="D105" s="91"/>
      <c r="E105" s="96"/>
      <c r="F105" s="87"/>
      <c r="G105" s="87"/>
      <c r="H105" s="87"/>
      <c r="I105" s="87"/>
      <c r="J105" s="87"/>
      <c r="K105" s="87"/>
      <c r="L105" s="87"/>
      <c r="M105" s="87"/>
      <c r="N105" s="97"/>
      <c r="O105" s="87"/>
      <c r="P105" s="93"/>
      <c r="Q105" s="93"/>
      <c r="R105" s="93"/>
      <c r="S105" s="93"/>
      <c r="T105" s="93"/>
      <c r="U105" s="93"/>
      <c r="V105" s="93"/>
      <c r="W105" s="93"/>
      <c r="X105" s="93"/>
      <c r="Y105" s="93"/>
      <c r="Z105" s="93"/>
      <c r="AA105" s="93"/>
      <c r="AB105" s="94"/>
      <c r="AC105" s="94"/>
      <c r="AD105" s="94"/>
      <c r="AE105" s="94"/>
      <c r="AF105" s="95"/>
      <c r="AG105" s="95"/>
      <c r="AH105" s="95"/>
      <c r="AI105" s="95"/>
      <c r="AJ105" s="95"/>
      <c r="AK105" s="95"/>
      <c r="AL105" s="95"/>
      <c r="AM105" s="95"/>
      <c r="AN105" s="95"/>
      <c r="AO105" s="95"/>
      <c r="AP105" s="95"/>
      <c r="AQ105" s="95"/>
      <c r="AR105" s="95"/>
      <c r="AS105" s="95"/>
      <c r="AT105" s="95"/>
      <c r="AU105" s="95"/>
      <c r="AV105" s="95"/>
      <c r="AW105" s="95"/>
      <c r="AX105" s="95"/>
      <c r="AY105" s="95"/>
      <c r="AZ105" s="95"/>
    </row>
    <row r="106" spans="1:52" x14ac:dyDescent="0.65">
      <c r="A106" s="87"/>
      <c r="B106" s="87"/>
      <c r="C106" s="87"/>
      <c r="D106" s="91"/>
      <c r="E106" s="96"/>
      <c r="F106" s="87"/>
      <c r="G106" s="87"/>
      <c r="H106" s="87"/>
      <c r="I106" s="87"/>
      <c r="J106" s="87"/>
      <c r="K106" s="87"/>
      <c r="L106" s="87"/>
      <c r="M106" s="87"/>
      <c r="N106" s="97"/>
      <c r="O106" s="87"/>
      <c r="P106" s="93"/>
      <c r="Q106" s="93"/>
      <c r="R106" s="93"/>
      <c r="S106" s="93"/>
      <c r="T106" s="93"/>
      <c r="U106" s="93"/>
      <c r="V106" s="93"/>
      <c r="W106" s="93"/>
      <c r="X106" s="93"/>
      <c r="Y106" s="93"/>
      <c r="Z106" s="93"/>
      <c r="AA106" s="93"/>
      <c r="AB106" s="94"/>
      <c r="AC106" s="94"/>
      <c r="AD106" s="94"/>
      <c r="AE106" s="94"/>
      <c r="AF106" s="95"/>
      <c r="AG106" s="95"/>
      <c r="AH106" s="95"/>
      <c r="AI106" s="95"/>
      <c r="AJ106" s="95"/>
      <c r="AK106" s="95"/>
      <c r="AL106" s="95"/>
      <c r="AM106" s="95"/>
      <c r="AN106" s="95"/>
      <c r="AO106" s="95"/>
      <c r="AP106" s="95"/>
      <c r="AQ106" s="95"/>
      <c r="AR106" s="95"/>
      <c r="AS106" s="95"/>
      <c r="AT106" s="95"/>
      <c r="AU106" s="95"/>
      <c r="AV106" s="95"/>
      <c r="AW106" s="95"/>
      <c r="AX106" s="95"/>
      <c r="AY106" s="95"/>
      <c r="AZ106" s="95"/>
    </row>
    <row r="107" spans="1:52" x14ac:dyDescent="0.65">
      <c r="A107" s="87"/>
      <c r="B107" s="87"/>
      <c r="C107" s="87"/>
      <c r="D107" s="91"/>
      <c r="E107" s="96"/>
      <c r="F107" s="87"/>
      <c r="G107" s="87"/>
      <c r="H107" s="87"/>
      <c r="I107" s="87"/>
      <c r="J107" s="87"/>
      <c r="K107" s="87"/>
      <c r="L107" s="87"/>
      <c r="M107" s="87"/>
      <c r="N107" s="97"/>
      <c r="O107" s="87"/>
      <c r="P107" s="93"/>
      <c r="Q107" s="93"/>
      <c r="R107" s="93"/>
      <c r="S107" s="93"/>
      <c r="T107" s="93"/>
      <c r="U107" s="93"/>
      <c r="V107" s="93"/>
      <c r="W107" s="93"/>
      <c r="X107" s="93"/>
      <c r="Y107" s="93"/>
      <c r="Z107" s="93"/>
      <c r="AA107" s="93"/>
      <c r="AB107" s="94"/>
      <c r="AC107" s="94"/>
      <c r="AD107" s="94"/>
      <c r="AE107" s="94"/>
      <c r="AF107" s="95"/>
      <c r="AG107" s="95"/>
      <c r="AH107" s="95"/>
      <c r="AI107" s="95"/>
      <c r="AJ107" s="95"/>
      <c r="AK107" s="95"/>
      <c r="AL107" s="95"/>
      <c r="AM107" s="95"/>
      <c r="AN107" s="95"/>
      <c r="AO107" s="95"/>
      <c r="AP107" s="95"/>
      <c r="AQ107" s="95"/>
      <c r="AR107" s="95"/>
      <c r="AS107" s="95"/>
      <c r="AT107" s="95"/>
      <c r="AU107" s="95"/>
      <c r="AV107" s="95"/>
      <c r="AW107" s="95"/>
      <c r="AX107" s="95"/>
      <c r="AY107" s="95"/>
      <c r="AZ107" s="95"/>
    </row>
    <row r="108" spans="1:52" x14ac:dyDescent="0.65">
      <c r="A108" s="87"/>
      <c r="B108" s="87"/>
      <c r="C108" s="87"/>
      <c r="D108" s="91"/>
      <c r="E108" s="96"/>
      <c r="F108" s="87"/>
      <c r="G108" s="87"/>
      <c r="H108" s="87"/>
      <c r="I108" s="87"/>
      <c r="J108" s="87"/>
      <c r="K108" s="87"/>
      <c r="L108" s="87"/>
      <c r="M108" s="87"/>
      <c r="N108" s="97"/>
      <c r="O108" s="87"/>
      <c r="P108" s="93"/>
      <c r="Q108" s="93"/>
      <c r="R108" s="93"/>
      <c r="S108" s="93"/>
      <c r="T108" s="93"/>
      <c r="U108" s="93"/>
      <c r="V108" s="93"/>
      <c r="W108" s="93"/>
      <c r="X108" s="93"/>
      <c r="Y108" s="93"/>
      <c r="Z108" s="93"/>
      <c r="AA108" s="93"/>
      <c r="AB108" s="94"/>
      <c r="AC108" s="94"/>
      <c r="AD108" s="94"/>
      <c r="AE108" s="94"/>
      <c r="AF108" s="95"/>
      <c r="AG108" s="95"/>
      <c r="AH108" s="95"/>
      <c r="AI108" s="95"/>
      <c r="AJ108" s="95"/>
      <c r="AK108" s="95"/>
      <c r="AL108" s="95"/>
      <c r="AM108" s="95"/>
      <c r="AN108" s="95"/>
      <c r="AO108" s="95"/>
      <c r="AP108" s="95"/>
      <c r="AQ108" s="95"/>
      <c r="AR108" s="95"/>
      <c r="AS108" s="95"/>
      <c r="AT108" s="95"/>
      <c r="AU108" s="95"/>
      <c r="AV108" s="95"/>
      <c r="AW108" s="95"/>
      <c r="AX108" s="95"/>
      <c r="AY108" s="95"/>
      <c r="AZ108" s="95"/>
    </row>
    <row r="109" spans="1:52" x14ac:dyDescent="0.65">
      <c r="A109" s="87"/>
      <c r="B109" s="87"/>
      <c r="C109" s="87"/>
      <c r="D109" s="91"/>
      <c r="E109" s="96"/>
      <c r="F109" s="87"/>
      <c r="G109" s="87"/>
      <c r="H109" s="87"/>
      <c r="I109" s="87"/>
      <c r="J109" s="87"/>
      <c r="K109" s="87"/>
      <c r="L109" s="87"/>
      <c r="M109" s="87"/>
      <c r="N109" s="97"/>
      <c r="O109" s="87"/>
      <c r="P109" s="93"/>
      <c r="Q109" s="93"/>
      <c r="R109" s="93"/>
      <c r="S109" s="93"/>
      <c r="T109" s="93"/>
      <c r="U109" s="93"/>
      <c r="V109" s="93"/>
      <c r="W109" s="93"/>
      <c r="X109" s="93"/>
      <c r="Y109" s="93"/>
      <c r="Z109" s="93"/>
      <c r="AA109" s="93"/>
      <c r="AB109" s="94"/>
      <c r="AC109" s="94"/>
      <c r="AD109" s="94"/>
      <c r="AE109" s="94"/>
      <c r="AF109" s="95"/>
      <c r="AG109" s="95"/>
      <c r="AH109" s="95"/>
      <c r="AI109" s="95"/>
      <c r="AJ109" s="95"/>
      <c r="AK109" s="95"/>
      <c r="AL109" s="95"/>
      <c r="AM109" s="95"/>
      <c r="AN109" s="95"/>
      <c r="AO109" s="95"/>
      <c r="AP109" s="95"/>
      <c r="AQ109" s="95"/>
      <c r="AR109" s="95"/>
      <c r="AS109" s="95"/>
      <c r="AT109" s="95"/>
      <c r="AU109" s="95"/>
      <c r="AV109" s="95"/>
      <c r="AW109" s="95"/>
      <c r="AX109" s="95"/>
      <c r="AY109" s="95"/>
      <c r="AZ109" s="95"/>
    </row>
    <row r="110" spans="1:52" x14ac:dyDescent="0.65">
      <c r="A110" s="87"/>
      <c r="B110" s="87"/>
      <c r="C110" s="87"/>
      <c r="D110" s="91"/>
      <c r="E110" s="96"/>
      <c r="F110" s="87"/>
      <c r="G110" s="87"/>
      <c r="H110" s="87"/>
      <c r="I110" s="87"/>
      <c r="J110" s="87"/>
      <c r="K110" s="87"/>
      <c r="L110" s="87"/>
      <c r="M110" s="87"/>
      <c r="N110" s="97"/>
      <c r="O110" s="87"/>
      <c r="P110" s="93"/>
      <c r="Q110" s="93"/>
      <c r="R110" s="93"/>
      <c r="S110" s="93"/>
      <c r="T110" s="93"/>
      <c r="U110" s="93"/>
      <c r="V110" s="93"/>
      <c r="W110" s="93"/>
      <c r="X110" s="93"/>
      <c r="Y110" s="93"/>
      <c r="Z110" s="93"/>
      <c r="AA110" s="93"/>
      <c r="AB110" s="94"/>
      <c r="AC110" s="94"/>
      <c r="AD110" s="94"/>
      <c r="AE110" s="94"/>
      <c r="AF110" s="95"/>
      <c r="AG110" s="95"/>
      <c r="AH110" s="95"/>
      <c r="AI110" s="95"/>
      <c r="AJ110" s="95"/>
      <c r="AK110" s="95"/>
      <c r="AL110" s="95"/>
      <c r="AM110" s="95"/>
      <c r="AN110" s="95"/>
      <c r="AO110" s="95"/>
      <c r="AP110" s="95"/>
      <c r="AQ110" s="95"/>
      <c r="AR110" s="95"/>
      <c r="AS110" s="95"/>
      <c r="AT110" s="95"/>
      <c r="AU110" s="95"/>
      <c r="AV110" s="95"/>
      <c r="AW110" s="95"/>
      <c r="AX110" s="95"/>
      <c r="AY110" s="95"/>
      <c r="AZ110" s="95"/>
    </row>
    <row r="111" spans="1:52" x14ac:dyDescent="0.65">
      <c r="A111" s="87"/>
      <c r="B111" s="87"/>
      <c r="C111" s="87"/>
      <c r="D111" s="91"/>
      <c r="E111" s="96"/>
      <c r="F111" s="87"/>
      <c r="G111" s="87"/>
      <c r="H111" s="87"/>
      <c r="I111" s="87"/>
      <c r="J111" s="87"/>
      <c r="K111" s="87"/>
      <c r="L111" s="87"/>
      <c r="M111" s="87"/>
      <c r="N111" s="97"/>
      <c r="O111" s="87"/>
      <c r="P111" s="93"/>
      <c r="Q111" s="93"/>
      <c r="R111" s="93"/>
      <c r="S111" s="93"/>
      <c r="T111" s="93"/>
      <c r="U111" s="93"/>
      <c r="V111" s="93"/>
      <c r="W111" s="93"/>
      <c r="X111" s="93"/>
      <c r="Y111" s="93"/>
      <c r="Z111" s="93"/>
      <c r="AA111" s="93"/>
      <c r="AB111" s="94"/>
      <c r="AC111" s="94"/>
      <c r="AD111" s="94"/>
      <c r="AE111" s="94"/>
      <c r="AF111" s="95"/>
      <c r="AG111" s="95"/>
      <c r="AH111" s="95"/>
      <c r="AI111" s="95"/>
      <c r="AJ111" s="95"/>
      <c r="AK111" s="95"/>
      <c r="AL111" s="95"/>
      <c r="AM111" s="95"/>
      <c r="AN111" s="95"/>
      <c r="AO111" s="95"/>
      <c r="AP111" s="95"/>
      <c r="AQ111" s="95"/>
      <c r="AR111" s="95"/>
      <c r="AS111" s="95"/>
      <c r="AT111" s="95"/>
      <c r="AU111" s="95"/>
      <c r="AV111" s="95"/>
      <c r="AW111" s="95"/>
      <c r="AX111" s="95"/>
      <c r="AY111" s="95"/>
      <c r="AZ111" s="95"/>
    </row>
    <row r="112" spans="1:52" x14ac:dyDescent="0.65">
      <c r="A112" s="87"/>
      <c r="B112" s="87"/>
      <c r="C112" s="87"/>
      <c r="D112" s="91"/>
      <c r="E112" s="96"/>
      <c r="F112" s="87"/>
      <c r="G112" s="87"/>
      <c r="H112" s="87"/>
      <c r="I112" s="87"/>
      <c r="J112" s="87"/>
      <c r="K112" s="87"/>
      <c r="L112" s="87"/>
      <c r="M112" s="87"/>
      <c r="N112" s="97"/>
      <c r="O112" s="87"/>
      <c r="P112" s="93"/>
      <c r="Q112" s="93"/>
      <c r="R112" s="93"/>
      <c r="S112" s="93"/>
      <c r="T112" s="93"/>
      <c r="U112" s="93"/>
      <c r="V112" s="93"/>
      <c r="W112" s="93"/>
      <c r="X112" s="93"/>
      <c r="Y112" s="93"/>
      <c r="Z112" s="93"/>
      <c r="AA112" s="93"/>
      <c r="AB112" s="94"/>
      <c r="AC112" s="94"/>
      <c r="AD112" s="94"/>
      <c r="AE112" s="94"/>
      <c r="AF112" s="95"/>
      <c r="AG112" s="95"/>
      <c r="AH112" s="95"/>
      <c r="AI112" s="95"/>
      <c r="AJ112" s="95"/>
      <c r="AK112" s="95"/>
      <c r="AL112" s="95"/>
      <c r="AM112" s="95"/>
      <c r="AN112" s="95"/>
      <c r="AO112" s="95"/>
      <c r="AP112" s="95"/>
      <c r="AQ112" s="95"/>
      <c r="AR112" s="95"/>
      <c r="AS112" s="95"/>
      <c r="AT112" s="95"/>
      <c r="AU112" s="95"/>
      <c r="AV112" s="95"/>
      <c r="AW112" s="95"/>
      <c r="AX112" s="95"/>
      <c r="AY112" s="95"/>
      <c r="AZ112" s="95"/>
    </row>
    <row r="113" spans="1:52" x14ac:dyDescent="0.65">
      <c r="A113" s="87"/>
      <c r="B113" s="87"/>
      <c r="C113" s="87"/>
      <c r="D113" s="91"/>
      <c r="E113" s="96"/>
      <c r="F113" s="87"/>
      <c r="G113" s="87"/>
      <c r="H113" s="87"/>
      <c r="I113" s="87"/>
      <c r="J113" s="87"/>
      <c r="K113" s="87"/>
      <c r="L113" s="87"/>
      <c r="M113" s="87"/>
      <c r="N113" s="97"/>
      <c r="O113" s="87"/>
      <c r="P113" s="93"/>
      <c r="Q113" s="93"/>
      <c r="R113" s="93"/>
      <c r="S113" s="93"/>
      <c r="T113" s="93"/>
      <c r="U113" s="93"/>
      <c r="V113" s="93"/>
      <c r="W113" s="93"/>
      <c r="X113" s="93"/>
      <c r="Y113" s="93"/>
      <c r="Z113" s="93"/>
      <c r="AA113" s="93"/>
      <c r="AB113" s="94"/>
      <c r="AC113" s="94"/>
      <c r="AD113" s="94"/>
      <c r="AE113" s="94"/>
      <c r="AF113" s="95"/>
      <c r="AG113" s="95"/>
      <c r="AH113" s="95"/>
      <c r="AI113" s="95"/>
      <c r="AJ113" s="95"/>
      <c r="AK113" s="95"/>
      <c r="AL113" s="95"/>
      <c r="AM113" s="95"/>
      <c r="AN113" s="95"/>
      <c r="AO113" s="95"/>
      <c r="AP113" s="95"/>
      <c r="AQ113" s="95"/>
      <c r="AR113" s="95"/>
      <c r="AS113" s="95"/>
      <c r="AT113" s="95"/>
      <c r="AU113" s="95"/>
      <c r="AV113" s="95"/>
      <c r="AW113" s="95"/>
      <c r="AX113" s="95"/>
      <c r="AY113" s="95"/>
      <c r="AZ113" s="95"/>
    </row>
    <row r="114" spans="1:52" x14ac:dyDescent="0.65">
      <c r="A114" s="87"/>
      <c r="B114" s="87"/>
      <c r="C114" s="87"/>
      <c r="D114" s="91"/>
      <c r="E114" s="96"/>
      <c r="F114" s="87"/>
      <c r="G114" s="87"/>
      <c r="H114" s="87"/>
      <c r="I114" s="87"/>
      <c r="J114" s="87"/>
      <c r="K114" s="87"/>
      <c r="L114" s="87"/>
      <c r="M114" s="87"/>
      <c r="N114" s="97"/>
      <c r="O114" s="87"/>
      <c r="P114" s="93"/>
      <c r="Q114" s="93"/>
      <c r="R114" s="93"/>
      <c r="S114" s="93"/>
      <c r="T114" s="93"/>
      <c r="U114" s="93"/>
      <c r="V114" s="93"/>
      <c r="W114" s="93"/>
      <c r="X114" s="93"/>
      <c r="Y114" s="93"/>
      <c r="Z114" s="93"/>
      <c r="AA114" s="93"/>
      <c r="AB114" s="94"/>
      <c r="AC114" s="94"/>
      <c r="AD114" s="94"/>
      <c r="AE114" s="94"/>
      <c r="AF114" s="95"/>
      <c r="AG114" s="95"/>
      <c r="AH114" s="95"/>
      <c r="AI114" s="95"/>
      <c r="AJ114" s="95"/>
      <c r="AK114" s="95"/>
      <c r="AL114" s="95"/>
      <c r="AM114" s="95"/>
      <c r="AN114" s="95"/>
      <c r="AO114" s="95"/>
      <c r="AP114" s="95"/>
      <c r="AQ114" s="95"/>
      <c r="AR114" s="95"/>
      <c r="AS114" s="95"/>
      <c r="AT114" s="95"/>
      <c r="AU114" s="95"/>
      <c r="AV114" s="95"/>
      <c r="AW114" s="95"/>
      <c r="AX114" s="95"/>
      <c r="AY114" s="95"/>
      <c r="AZ114" s="95"/>
    </row>
    <row r="115" spans="1:52" x14ac:dyDescent="0.65">
      <c r="A115" s="87"/>
      <c r="B115" s="87"/>
      <c r="C115" s="87"/>
      <c r="D115" s="91"/>
      <c r="E115" s="96"/>
      <c r="F115" s="87"/>
      <c r="G115" s="87"/>
      <c r="H115" s="87"/>
      <c r="I115" s="87"/>
      <c r="J115" s="87"/>
      <c r="K115" s="87"/>
      <c r="L115" s="87"/>
      <c r="M115" s="87"/>
      <c r="N115" s="97"/>
      <c r="O115" s="87"/>
      <c r="P115" s="93"/>
      <c r="Q115" s="93"/>
      <c r="R115" s="93"/>
      <c r="S115" s="93"/>
      <c r="T115" s="93"/>
      <c r="U115" s="93"/>
      <c r="V115" s="93"/>
      <c r="W115" s="93"/>
      <c r="X115" s="93"/>
      <c r="Y115" s="93"/>
      <c r="Z115" s="93"/>
      <c r="AA115" s="93"/>
      <c r="AB115" s="94"/>
      <c r="AC115" s="94"/>
      <c r="AD115" s="94"/>
      <c r="AE115" s="94"/>
      <c r="AF115" s="95"/>
      <c r="AG115" s="95"/>
      <c r="AH115" s="95"/>
      <c r="AI115" s="95"/>
      <c r="AJ115" s="95"/>
      <c r="AK115" s="95"/>
      <c r="AL115" s="95"/>
      <c r="AM115" s="95"/>
      <c r="AN115" s="95"/>
      <c r="AO115" s="95"/>
      <c r="AP115" s="95"/>
      <c r="AQ115" s="95"/>
      <c r="AR115" s="95"/>
      <c r="AS115" s="95"/>
      <c r="AT115" s="95"/>
      <c r="AU115" s="95"/>
      <c r="AV115" s="95"/>
      <c r="AW115" s="95"/>
      <c r="AX115" s="95"/>
      <c r="AY115" s="95"/>
      <c r="AZ115" s="95"/>
    </row>
    <row r="116" spans="1:52" x14ac:dyDescent="0.65">
      <c r="A116" s="87"/>
      <c r="B116" s="87"/>
      <c r="C116" s="87"/>
      <c r="D116" s="91"/>
      <c r="E116" s="96"/>
      <c r="F116" s="87"/>
      <c r="G116" s="87"/>
      <c r="H116" s="87"/>
      <c r="I116" s="98"/>
      <c r="J116" s="87"/>
      <c r="K116" s="98"/>
      <c r="L116" s="98"/>
      <c r="M116" s="98"/>
      <c r="N116" s="97"/>
      <c r="O116" s="98"/>
      <c r="P116" s="93"/>
      <c r="Q116" s="93"/>
      <c r="R116" s="93"/>
      <c r="S116" s="93"/>
      <c r="T116" s="93"/>
      <c r="U116" s="93"/>
      <c r="V116" s="93"/>
      <c r="W116" s="93"/>
      <c r="X116" s="93"/>
      <c r="Y116" s="93"/>
      <c r="Z116" s="93"/>
      <c r="AA116" s="93"/>
      <c r="AB116" s="94"/>
      <c r="AC116" s="94"/>
      <c r="AD116" s="94"/>
      <c r="AE116" s="94"/>
      <c r="AF116" s="95"/>
      <c r="AG116" s="95"/>
      <c r="AH116" s="95"/>
      <c r="AI116" s="95"/>
      <c r="AJ116" s="95"/>
      <c r="AK116" s="95"/>
      <c r="AL116" s="95"/>
      <c r="AM116" s="95"/>
      <c r="AN116" s="95"/>
      <c r="AO116" s="95"/>
      <c r="AP116" s="95"/>
      <c r="AQ116" s="95"/>
      <c r="AR116" s="95"/>
      <c r="AS116" s="95"/>
      <c r="AT116" s="95"/>
      <c r="AU116" s="95"/>
      <c r="AV116" s="95"/>
      <c r="AW116" s="95"/>
      <c r="AX116" s="95"/>
      <c r="AY116" s="95"/>
      <c r="AZ116" s="95"/>
    </row>
    <row r="117" spans="1:52" x14ac:dyDescent="0.65">
      <c r="A117" s="87"/>
      <c r="B117" s="87"/>
      <c r="C117" s="87"/>
      <c r="D117" s="91"/>
      <c r="E117" s="96"/>
      <c r="F117" s="87"/>
      <c r="G117" s="87"/>
      <c r="H117" s="87"/>
      <c r="I117" s="87"/>
      <c r="J117" s="87"/>
      <c r="K117" s="87"/>
      <c r="L117" s="87"/>
      <c r="M117" s="87"/>
      <c r="N117" s="97"/>
      <c r="O117" s="87"/>
      <c r="P117" s="93"/>
      <c r="Q117" s="93"/>
      <c r="R117" s="93"/>
      <c r="S117" s="93"/>
      <c r="T117" s="93"/>
      <c r="U117" s="93"/>
      <c r="V117" s="93"/>
      <c r="W117" s="93"/>
      <c r="X117" s="93"/>
      <c r="Y117" s="93"/>
      <c r="Z117" s="93"/>
      <c r="AA117" s="93"/>
      <c r="AB117" s="94"/>
      <c r="AC117" s="94"/>
      <c r="AD117" s="94"/>
      <c r="AE117" s="94"/>
      <c r="AF117" s="95"/>
      <c r="AG117" s="95"/>
      <c r="AH117" s="95"/>
      <c r="AI117" s="95"/>
      <c r="AJ117" s="95"/>
      <c r="AK117" s="95"/>
      <c r="AL117" s="95"/>
      <c r="AM117" s="95"/>
      <c r="AN117" s="95"/>
      <c r="AO117" s="95"/>
      <c r="AP117" s="95"/>
      <c r="AQ117" s="95"/>
      <c r="AR117" s="95"/>
      <c r="AS117" s="95"/>
      <c r="AT117" s="95"/>
      <c r="AU117" s="95"/>
      <c r="AV117" s="95"/>
      <c r="AW117" s="95"/>
      <c r="AX117" s="95"/>
      <c r="AY117" s="95"/>
      <c r="AZ117" s="95"/>
    </row>
    <row r="118" spans="1:52" x14ac:dyDescent="0.65">
      <c r="A118" s="87"/>
      <c r="B118" s="87"/>
      <c r="C118" s="87"/>
      <c r="D118" s="91"/>
      <c r="E118" s="96"/>
      <c r="F118" s="87"/>
      <c r="G118" s="87"/>
      <c r="H118" s="87"/>
      <c r="I118" s="87"/>
      <c r="J118" s="87"/>
      <c r="K118" s="87"/>
      <c r="L118" s="87"/>
      <c r="M118" s="87"/>
      <c r="N118" s="97"/>
      <c r="O118" s="87"/>
      <c r="P118" s="93"/>
      <c r="Q118" s="93"/>
      <c r="R118" s="93"/>
      <c r="S118" s="93"/>
      <c r="T118" s="93"/>
      <c r="U118" s="93"/>
      <c r="V118" s="93"/>
      <c r="W118" s="93"/>
      <c r="X118" s="93"/>
      <c r="Y118" s="93"/>
      <c r="Z118" s="93"/>
      <c r="AA118" s="93"/>
      <c r="AB118" s="94"/>
      <c r="AC118" s="94"/>
      <c r="AD118" s="94"/>
      <c r="AE118" s="94"/>
      <c r="AF118" s="95"/>
      <c r="AG118" s="95"/>
      <c r="AH118" s="95"/>
      <c r="AI118" s="95"/>
      <c r="AJ118" s="95"/>
      <c r="AK118" s="95"/>
      <c r="AL118" s="95"/>
      <c r="AM118" s="95"/>
      <c r="AN118" s="95"/>
      <c r="AO118" s="95"/>
      <c r="AP118" s="95"/>
      <c r="AQ118" s="95"/>
      <c r="AR118" s="95"/>
      <c r="AS118" s="95"/>
      <c r="AT118" s="95"/>
      <c r="AU118" s="95"/>
      <c r="AV118" s="95"/>
      <c r="AW118" s="95"/>
      <c r="AX118" s="95"/>
      <c r="AY118" s="95"/>
      <c r="AZ118" s="95"/>
    </row>
    <row r="119" spans="1:52" x14ac:dyDescent="0.65">
      <c r="A119" s="87"/>
      <c r="B119" s="87"/>
      <c r="C119" s="87"/>
      <c r="D119" s="91"/>
      <c r="E119" s="96"/>
      <c r="F119" s="87"/>
      <c r="G119" s="87"/>
      <c r="H119" s="87"/>
      <c r="I119" s="87"/>
      <c r="J119" s="87"/>
      <c r="K119" s="87"/>
      <c r="L119" s="87"/>
      <c r="M119" s="87"/>
      <c r="N119" s="97"/>
      <c r="O119" s="87"/>
      <c r="P119" s="93"/>
      <c r="Q119" s="93"/>
      <c r="R119" s="93"/>
      <c r="S119" s="93"/>
      <c r="T119" s="93"/>
      <c r="U119" s="93"/>
      <c r="V119" s="93"/>
      <c r="W119" s="93"/>
      <c r="X119" s="93"/>
      <c r="Y119" s="93"/>
      <c r="Z119" s="93"/>
      <c r="AA119" s="93"/>
      <c r="AB119" s="94"/>
      <c r="AC119" s="94"/>
      <c r="AD119" s="94"/>
      <c r="AE119" s="94"/>
      <c r="AF119" s="95"/>
      <c r="AG119" s="95"/>
      <c r="AH119" s="95"/>
      <c r="AI119" s="95"/>
      <c r="AJ119" s="95"/>
      <c r="AK119" s="95"/>
      <c r="AL119" s="95"/>
      <c r="AM119" s="95"/>
      <c r="AN119" s="95"/>
      <c r="AO119" s="95"/>
      <c r="AP119" s="95"/>
      <c r="AQ119" s="95"/>
      <c r="AR119" s="95"/>
      <c r="AS119" s="95"/>
      <c r="AT119" s="95"/>
      <c r="AU119" s="95"/>
      <c r="AV119" s="95"/>
      <c r="AW119" s="95"/>
      <c r="AX119" s="95"/>
      <c r="AY119" s="95"/>
      <c r="AZ119" s="95"/>
    </row>
    <row r="120" spans="1:52" x14ac:dyDescent="0.65">
      <c r="A120" s="87"/>
      <c r="B120" s="87"/>
      <c r="C120" s="87"/>
      <c r="D120" s="91"/>
      <c r="E120" s="96"/>
      <c r="F120" s="87"/>
      <c r="G120" s="87"/>
      <c r="H120" s="87"/>
      <c r="I120" s="87"/>
      <c r="J120" s="87"/>
      <c r="K120" s="87"/>
      <c r="L120" s="87"/>
      <c r="M120" s="87"/>
      <c r="N120" s="97"/>
      <c r="O120" s="87"/>
      <c r="P120" s="93"/>
      <c r="Q120" s="93"/>
      <c r="R120" s="93"/>
      <c r="S120" s="93"/>
      <c r="T120" s="93"/>
      <c r="U120" s="93"/>
      <c r="V120" s="93"/>
      <c r="W120" s="93"/>
      <c r="X120" s="93"/>
      <c r="Y120" s="93"/>
      <c r="Z120" s="93"/>
      <c r="AA120" s="93"/>
      <c r="AB120" s="94"/>
      <c r="AC120" s="94"/>
      <c r="AD120" s="94"/>
      <c r="AE120" s="94"/>
      <c r="AF120" s="95"/>
      <c r="AG120" s="95"/>
      <c r="AH120" s="95"/>
      <c r="AI120" s="95"/>
      <c r="AJ120" s="95"/>
      <c r="AK120" s="95"/>
      <c r="AL120" s="95"/>
      <c r="AM120" s="95"/>
      <c r="AN120" s="95"/>
      <c r="AO120" s="95"/>
      <c r="AP120" s="95"/>
      <c r="AQ120" s="95"/>
      <c r="AR120" s="95"/>
      <c r="AS120" s="95"/>
      <c r="AT120" s="95"/>
      <c r="AU120" s="95"/>
      <c r="AV120" s="95"/>
      <c r="AW120" s="95"/>
      <c r="AX120" s="95"/>
      <c r="AY120" s="95"/>
      <c r="AZ120" s="95"/>
    </row>
    <row r="121" spans="1:52" x14ac:dyDescent="0.65">
      <c r="A121" s="87"/>
      <c r="B121" s="87"/>
      <c r="C121" s="87"/>
      <c r="D121" s="91"/>
      <c r="E121" s="96"/>
      <c r="F121" s="87"/>
      <c r="G121" s="87"/>
      <c r="H121" s="87"/>
      <c r="I121" s="87"/>
      <c r="J121" s="87"/>
      <c r="K121" s="87"/>
      <c r="L121" s="87"/>
      <c r="M121" s="87"/>
      <c r="N121" s="97"/>
      <c r="O121" s="87"/>
      <c r="P121" s="93"/>
      <c r="Q121" s="93"/>
      <c r="R121" s="93"/>
      <c r="S121" s="93"/>
      <c r="T121" s="93"/>
      <c r="U121" s="93"/>
      <c r="V121" s="93"/>
      <c r="W121" s="93"/>
      <c r="X121" s="93"/>
      <c r="Y121" s="93"/>
      <c r="Z121" s="93"/>
      <c r="AA121" s="93"/>
      <c r="AB121" s="94"/>
      <c r="AC121" s="94"/>
      <c r="AD121" s="94"/>
      <c r="AE121" s="94"/>
      <c r="AF121" s="95"/>
      <c r="AG121" s="95"/>
      <c r="AH121" s="95"/>
      <c r="AI121" s="95"/>
      <c r="AJ121" s="95"/>
      <c r="AK121" s="95"/>
      <c r="AL121" s="95"/>
      <c r="AM121" s="95"/>
      <c r="AN121" s="95"/>
      <c r="AO121" s="95"/>
      <c r="AP121" s="95"/>
      <c r="AQ121" s="95"/>
      <c r="AR121" s="95"/>
      <c r="AS121" s="95"/>
      <c r="AT121" s="95"/>
      <c r="AU121" s="95"/>
      <c r="AV121" s="95"/>
      <c r="AW121" s="95"/>
      <c r="AX121" s="95"/>
      <c r="AY121" s="95"/>
      <c r="AZ121" s="95"/>
    </row>
    <row r="122" spans="1:52" x14ac:dyDescent="0.65">
      <c r="A122" s="87"/>
      <c r="B122" s="87"/>
      <c r="C122" s="87"/>
      <c r="D122" s="91"/>
      <c r="E122" s="96"/>
      <c r="F122" s="87"/>
      <c r="G122" s="87"/>
      <c r="H122" s="87"/>
      <c r="I122" s="87"/>
      <c r="J122" s="87"/>
      <c r="K122" s="87"/>
      <c r="L122" s="87"/>
      <c r="M122" s="87"/>
      <c r="N122" s="97"/>
      <c r="O122" s="87"/>
      <c r="P122" s="93"/>
      <c r="Q122" s="93"/>
      <c r="R122" s="93"/>
      <c r="S122" s="93"/>
      <c r="T122" s="93"/>
      <c r="U122" s="93"/>
      <c r="V122" s="93"/>
      <c r="W122" s="93"/>
      <c r="X122" s="93"/>
      <c r="Y122" s="93"/>
      <c r="Z122" s="93"/>
      <c r="AA122" s="93"/>
      <c r="AB122" s="94"/>
      <c r="AC122" s="94"/>
      <c r="AD122" s="94"/>
      <c r="AE122" s="94"/>
      <c r="AF122" s="95"/>
      <c r="AG122" s="95"/>
      <c r="AH122" s="95"/>
      <c r="AI122" s="95"/>
      <c r="AJ122" s="95"/>
      <c r="AK122" s="95"/>
      <c r="AL122" s="95"/>
      <c r="AM122" s="95"/>
      <c r="AN122" s="95"/>
      <c r="AO122" s="95"/>
      <c r="AP122" s="95"/>
      <c r="AQ122" s="95"/>
      <c r="AR122" s="95"/>
      <c r="AS122" s="95"/>
      <c r="AT122" s="95"/>
      <c r="AU122" s="95"/>
      <c r="AV122" s="95"/>
      <c r="AW122" s="95"/>
      <c r="AX122" s="95"/>
      <c r="AY122" s="95"/>
      <c r="AZ122" s="95"/>
    </row>
    <row r="123" spans="1:52" x14ac:dyDescent="0.65">
      <c r="A123" s="87"/>
      <c r="B123" s="87"/>
      <c r="C123" s="87"/>
      <c r="D123" s="91"/>
      <c r="E123" s="96"/>
      <c r="F123" s="87"/>
      <c r="G123" s="87"/>
      <c r="H123" s="87"/>
      <c r="I123" s="87"/>
      <c r="J123" s="87"/>
      <c r="K123" s="87"/>
      <c r="L123" s="87"/>
      <c r="M123" s="87"/>
      <c r="N123" s="97"/>
      <c r="O123" s="87"/>
      <c r="P123" s="93"/>
      <c r="Q123" s="93"/>
      <c r="R123" s="93"/>
      <c r="S123" s="93"/>
      <c r="T123" s="93"/>
      <c r="U123" s="93"/>
      <c r="V123" s="93"/>
      <c r="W123" s="93"/>
      <c r="X123" s="93"/>
      <c r="Y123" s="93"/>
      <c r="Z123" s="93"/>
      <c r="AA123" s="93"/>
      <c r="AB123" s="94"/>
      <c r="AC123" s="94"/>
      <c r="AD123" s="94"/>
      <c r="AE123" s="94"/>
      <c r="AF123" s="95"/>
      <c r="AG123" s="95"/>
      <c r="AH123" s="95"/>
      <c r="AI123" s="95"/>
      <c r="AJ123" s="95"/>
      <c r="AK123" s="95"/>
      <c r="AL123" s="95"/>
      <c r="AM123" s="95"/>
      <c r="AN123" s="95"/>
      <c r="AO123" s="95"/>
      <c r="AP123" s="95"/>
      <c r="AQ123" s="95"/>
      <c r="AR123" s="95"/>
      <c r="AS123" s="95"/>
      <c r="AT123" s="95"/>
      <c r="AU123" s="95"/>
      <c r="AV123" s="95"/>
      <c r="AW123" s="95"/>
      <c r="AX123" s="95"/>
      <c r="AY123" s="95"/>
      <c r="AZ123" s="95"/>
    </row>
    <row r="124" spans="1:52" x14ac:dyDescent="0.65">
      <c r="A124" s="87"/>
      <c r="B124" s="87"/>
      <c r="C124" s="87"/>
      <c r="D124" s="91"/>
      <c r="E124" s="96"/>
      <c r="F124" s="87"/>
      <c r="G124" s="87"/>
      <c r="H124" s="87"/>
      <c r="I124" s="87"/>
      <c r="J124" s="87"/>
      <c r="K124" s="87"/>
      <c r="L124" s="87"/>
      <c r="M124" s="87"/>
      <c r="N124" s="97"/>
      <c r="O124" s="87"/>
      <c r="P124" s="93"/>
      <c r="Q124" s="93"/>
      <c r="R124" s="93"/>
      <c r="S124" s="93"/>
      <c r="T124" s="93"/>
      <c r="U124" s="93"/>
      <c r="V124" s="93"/>
      <c r="W124" s="93"/>
      <c r="X124" s="93"/>
      <c r="Y124" s="93"/>
      <c r="Z124" s="93"/>
      <c r="AA124" s="93"/>
      <c r="AB124" s="94"/>
      <c r="AC124" s="94"/>
      <c r="AD124" s="94"/>
      <c r="AE124" s="94"/>
      <c r="AF124" s="95"/>
      <c r="AG124" s="95"/>
      <c r="AH124" s="95"/>
      <c r="AI124" s="95"/>
      <c r="AJ124" s="95"/>
      <c r="AK124" s="95"/>
      <c r="AL124" s="95"/>
      <c r="AM124" s="95"/>
      <c r="AN124" s="95"/>
      <c r="AO124" s="95"/>
      <c r="AP124" s="95"/>
      <c r="AQ124" s="95"/>
      <c r="AR124" s="95"/>
      <c r="AS124" s="95"/>
      <c r="AT124" s="95"/>
      <c r="AU124" s="95"/>
      <c r="AV124" s="95"/>
      <c r="AW124" s="95"/>
      <c r="AX124" s="95"/>
      <c r="AY124" s="95"/>
      <c r="AZ124" s="95"/>
    </row>
    <row r="125" spans="1:52" x14ac:dyDescent="0.65">
      <c r="A125" s="87"/>
      <c r="B125" s="87"/>
      <c r="C125" s="87"/>
      <c r="D125" s="91"/>
      <c r="E125" s="96"/>
      <c r="F125" s="87"/>
      <c r="G125" s="87"/>
      <c r="H125" s="87"/>
      <c r="I125" s="87"/>
      <c r="J125" s="87"/>
      <c r="K125" s="87"/>
      <c r="L125" s="87"/>
      <c r="M125" s="87"/>
      <c r="N125" s="97"/>
      <c r="O125" s="87"/>
      <c r="P125" s="93"/>
      <c r="Q125" s="93"/>
      <c r="R125" s="93"/>
      <c r="S125" s="93"/>
      <c r="T125" s="93"/>
      <c r="U125" s="93"/>
      <c r="V125" s="93"/>
      <c r="W125" s="93"/>
      <c r="X125" s="93"/>
      <c r="Y125" s="93"/>
      <c r="Z125" s="93"/>
      <c r="AA125" s="93"/>
      <c r="AB125" s="94"/>
      <c r="AC125" s="94"/>
      <c r="AD125" s="94"/>
      <c r="AE125" s="94"/>
      <c r="AF125" s="95"/>
      <c r="AG125" s="95"/>
      <c r="AH125" s="95"/>
      <c r="AI125" s="95"/>
      <c r="AJ125" s="95"/>
      <c r="AK125" s="95"/>
      <c r="AL125" s="95"/>
      <c r="AM125" s="95"/>
      <c r="AN125" s="95"/>
      <c r="AO125" s="95"/>
      <c r="AP125" s="95"/>
      <c r="AQ125" s="95"/>
      <c r="AR125" s="95"/>
      <c r="AS125" s="95"/>
      <c r="AT125" s="95"/>
      <c r="AU125" s="95"/>
      <c r="AV125" s="95"/>
      <c r="AW125" s="95"/>
      <c r="AX125" s="95"/>
      <c r="AY125" s="95"/>
      <c r="AZ125" s="95"/>
    </row>
    <row r="126" spans="1:52" x14ac:dyDescent="0.65">
      <c r="A126" s="87"/>
      <c r="B126" s="87"/>
      <c r="C126" s="87"/>
      <c r="D126" s="91"/>
      <c r="E126" s="96"/>
      <c r="F126" s="87"/>
      <c r="G126" s="87"/>
      <c r="H126" s="87"/>
      <c r="I126" s="98"/>
      <c r="J126" s="87"/>
      <c r="K126" s="98"/>
      <c r="L126" s="98"/>
      <c r="M126" s="98"/>
      <c r="N126" s="97"/>
      <c r="O126" s="98"/>
      <c r="P126" s="93"/>
      <c r="Q126" s="93"/>
      <c r="R126" s="93"/>
      <c r="S126" s="93"/>
      <c r="T126" s="93"/>
      <c r="U126" s="93"/>
      <c r="V126" s="93"/>
      <c r="W126" s="93"/>
      <c r="X126" s="93"/>
      <c r="Y126" s="93"/>
      <c r="Z126" s="93"/>
      <c r="AA126" s="93"/>
      <c r="AB126" s="94"/>
      <c r="AC126" s="94"/>
      <c r="AD126" s="94"/>
      <c r="AE126" s="94"/>
      <c r="AF126" s="95"/>
      <c r="AG126" s="95"/>
      <c r="AH126" s="95"/>
      <c r="AI126" s="95"/>
      <c r="AJ126" s="95"/>
      <c r="AK126" s="95"/>
      <c r="AL126" s="95"/>
      <c r="AM126" s="95"/>
      <c r="AN126" s="95"/>
      <c r="AO126" s="95"/>
      <c r="AP126" s="95"/>
      <c r="AQ126" s="95"/>
      <c r="AR126" s="95"/>
      <c r="AS126" s="95"/>
      <c r="AT126" s="95"/>
      <c r="AU126" s="95"/>
      <c r="AV126" s="95"/>
      <c r="AW126" s="95"/>
      <c r="AX126" s="95"/>
      <c r="AY126" s="95"/>
      <c r="AZ126" s="95"/>
    </row>
    <row r="127" spans="1:52" x14ac:dyDescent="0.65">
      <c r="A127" s="87"/>
      <c r="B127" s="87"/>
      <c r="C127" s="87"/>
      <c r="D127" s="91"/>
      <c r="E127" s="96"/>
      <c r="F127" s="87"/>
      <c r="G127" s="87"/>
      <c r="H127" s="87"/>
      <c r="I127" s="98"/>
      <c r="J127" s="87"/>
      <c r="K127" s="98"/>
      <c r="L127" s="98"/>
      <c r="M127" s="98"/>
      <c r="N127" s="97"/>
      <c r="O127" s="98"/>
      <c r="P127" s="93"/>
      <c r="Q127" s="93"/>
      <c r="R127" s="93"/>
      <c r="S127" s="93"/>
      <c r="T127" s="93"/>
      <c r="U127" s="93"/>
      <c r="V127" s="93"/>
      <c r="W127" s="93"/>
      <c r="X127" s="93"/>
      <c r="Y127" s="93"/>
      <c r="Z127" s="93"/>
      <c r="AA127" s="93"/>
      <c r="AB127" s="94"/>
      <c r="AC127" s="94"/>
      <c r="AD127" s="94"/>
      <c r="AE127" s="94"/>
      <c r="AF127" s="95"/>
      <c r="AG127" s="95"/>
      <c r="AH127" s="95"/>
      <c r="AI127" s="95"/>
      <c r="AJ127" s="95"/>
      <c r="AK127" s="95"/>
      <c r="AL127" s="95"/>
      <c r="AM127" s="95"/>
      <c r="AN127" s="95"/>
      <c r="AO127" s="95"/>
      <c r="AP127" s="95"/>
      <c r="AQ127" s="95"/>
      <c r="AR127" s="95"/>
      <c r="AS127" s="95"/>
      <c r="AT127" s="95"/>
      <c r="AU127" s="95"/>
      <c r="AV127" s="95"/>
      <c r="AW127" s="95"/>
      <c r="AX127" s="95"/>
      <c r="AY127" s="95"/>
      <c r="AZ127" s="95"/>
    </row>
    <row r="128" spans="1:52" x14ac:dyDescent="0.65">
      <c r="A128" s="87"/>
      <c r="B128" s="87"/>
      <c r="C128" s="87"/>
      <c r="D128" s="87"/>
      <c r="E128" s="90"/>
      <c r="F128" s="87"/>
      <c r="G128" s="87"/>
      <c r="H128" s="87"/>
      <c r="I128" s="87"/>
      <c r="J128" s="87"/>
      <c r="K128" s="87"/>
      <c r="L128" s="87"/>
      <c r="M128" s="87"/>
      <c r="N128" s="87"/>
      <c r="O128" s="87"/>
      <c r="P128" s="93"/>
      <c r="Q128" s="93"/>
      <c r="R128" s="93"/>
      <c r="S128" s="93"/>
      <c r="T128" s="93"/>
      <c r="U128" s="93"/>
      <c r="V128" s="93"/>
      <c r="W128" s="93"/>
      <c r="X128" s="93"/>
      <c r="Y128" s="93"/>
      <c r="Z128" s="93"/>
      <c r="AA128" s="93"/>
      <c r="AB128" s="94"/>
      <c r="AC128" s="94"/>
      <c r="AD128" s="94"/>
      <c r="AE128" s="94"/>
      <c r="AF128" s="95"/>
      <c r="AG128" s="95"/>
      <c r="AH128" s="95"/>
      <c r="AI128" s="95"/>
      <c r="AJ128" s="95"/>
      <c r="AK128" s="95"/>
      <c r="AL128" s="95"/>
      <c r="AM128" s="95"/>
      <c r="AN128" s="95"/>
      <c r="AO128" s="95"/>
      <c r="AP128" s="95"/>
      <c r="AQ128" s="95"/>
      <c r="AR128" s="95"/>
      <c r="AS128" s="95"/>
      <c r="AT128" s="95"/>
      <c r="AU128" s="95"/>
      <c r="AV128" s="95"/>
      <c r="AW128" s="95"/>
      <c r="AX128" s="95"/>
      <c r="AY128" s="95"/>
      <c r="AZ128" s="95"/>
    </row>
    <row r="129" spans="1:52" x14ac:dyDescent="0.65">
      <c r="A129" s="87"/>
      <c r="B129" s="87"/>
      <c r="C129" s="87"/>
      <c r="D129" s="87"/>
      <c r="E129" s="90"/>
      <c r="F129" s="87"/>
      <c r="G129" s="87"/>
      <c r="H129" s="87"/>
      <c r="I129" s="87"/>
      <c r="J129" s="87"/>
      <c r="K129" s="87"/>
      <c r="L129" s="87"/>
      <c r="M129" s="87"/>
      <c r="N129" s="92"/>
      <c r="O129" s="87"/>
      <c r="P129" s="93"/>
      <c r="Q129" s="93"/>
      <c r="R129" s="93"/>
      <c r="S129" s="93"/>
      <c r="T129" s="93"/>
      <c r="U129" s="93"/>
      <c r="V129" s="93"/>
      <c r="W129" s="93"/>
      <c r="X129" s="93"/>
      <c r="Y129" s="93"/>
      <c r="Z129" s="93"/>
      <c r="AA129" s="93"/>
      <c r="AB129" s="94"/>
      <c r="AC129" s="94"/>
      <c r="AD129" s="94"/>
      <c r="AE129" s="94"/>
      <c r="AF129" s="95"/>
      <c r="AG129" s="95"/>
      <c r="AH129" s="95"/>
      <c r="AI129" s="95"/>
      <c r="AJ129" s="95"/>
      <c r="AK129" s="95"/>
      <c r="AL129" s="95"/>
      <c r="AM129" s="95"/>
      <c r="AN129" s="95"/>
      <c r="AO129" s="95"/>
      <c r="AP129" s="95"/>
      <c r="AQ129" s="95"/>
      <c r="AR129" s="95"/>
      <c r="AS129" s="95"/>
      <c r="AT129" s="95"/>
      <c r="AU129" s="95"/>
      <c r="AV129" s="95"/>
      <c r="AW129" s="95"/>
      <c r="AX129" s="95"/>
      <c r="AY129" s="95"/>
      <c r="AZ129" s="95"/>
    </row>
    <row r="130" spans="1:52" x14ac:dyDescent="0.65">
      <c r="A130" s="87"/>
      <c r="B130" s="87"/>
      <c r="C130" s="87"/>
      <c r="D130" s="87"/>
      <c r="E130" s="90"/>
      <c r="F130" s="87"/>
      <c r="G130" s="87"/>
      <c r="H130" s="87"/>
      <c r="I130" s="87"/>
      <c r="J130" s="87"/>
      <c r="K130" s="87"/>
      <c r="L130" s="87"/>
      <c r="M130" s="87"/>
      <c r="N130" s="92"/>
      <c r="O130" s="87"/>
      <c r="P130" s="93"/>
      <c r="Q130" s="93"/>
      <c r="R130" s="93"/>
      <c r="S130" s="93"/>
      <c r="T130" s="93"/>
      <c r="U130" s="93"/>
      <c r="V130" s="93"/>
      <c r="W130" s="93"/>
      <c r="X130" s="93"/>
      <c r="Y130" s="93"/>
      <c r="Z130" s="93"/>
      <c r="AA130" s="93"/>
      <c r="AB130" s="94"/>
      <c r="AC130" s="94"/>
      <c r="AD130" s="94"/>
      <c r="AE130" s="94"/>
      <c r="AF130" s="95"/>
      <c r="AG130" s="95"/>
      <c r="AH130" s="95"/>
      <c r="AI130" s="95"/>
      <c r="AJ130" s="95"/>
      <c r="AK130" s="95"/>
      <c r="AL130" s="95"/>
      <c r="AM130" s="95"/>
      <c r="AN130" s="95"/>
      <c r="AO130" s="95"/>
      <c r="AP130" s="95"/>
      <c r="AQ130" s="95"/>
      <c r="AR130" s="95"/>
      <c r="AS130" s="95"/>
      <c r="AT130" s="95"/>
      <c r="AU130" s="95"/>
      <c r="AV130" s="95"/>
      <c r="AW130" s="95"/>
      <c r="AX130" s="95"/>
      <c r="AY130" s="95"/>
      <c r="AZ130" s="95"/>
    </row>
    <row r="131" spans="1:52" x14ac:dyDescent="0.65">
      <c r="A131" s="87"/>
      <c r="B131" s="87"/>
      <c r="C131" s="87"/>
      <c r="D131" s="87"/>
      <c r="E131" s="90"/>
      <c r="F131" s="87"/>
      <c r="G131" s="87"/>
      <c r="H131" s="87"/>
      <c r="I131" s="87"/>
      <c r="J131" s="87"/>
      <c r="K131" s="87"/>
      <c r="L131" s="87"/>
      <c r="M131" s="87"/>
      <c r="N131" s="92"/>
      <c r="O131" s="87"/>
      <c r="P131" s="93"/>
      <c r="Q131" s="93"/>
      <c r="R131" s="93"/>
      <c r="S131" s="93"/>
      <c r="T131" s="93"/>
      <c r="U131" s="93"/>
      <c r="V131" s="93"/>
      <c r="W131" s="93"/>
      <c r="X131" s="93"/>
      <c r="Y131" s="93"/>
      <c r="Z131" s="93"/>
      <c r="AA131" s="93"/>
      <c r="AB131" s="94"/>
      <c r="AC131" s="94"/>
      <c r="AD131" s="94"/>
      <c r="AE131" s="94"/>
      <c r="AF131" s="95"/>
      <c r="AG131" s="95"/>
      <c r="AH131" s="95"/>
      <c r="AI131" s="95"/>
      <c r="AJ131" s="95"/>
      <c r="AK131" s="95"/>
      <c r="AL131" s="95"/>
      <c r="AM131" s="95"/>
      <c r="AN131" s="95"/>
      <c r="AO131" s="95"/>
      <c r="AP131" s="95"/>
      <c r="AQ131" s="95"/>
      <c r="AR131" s="95"/>
      <c r="AS131" s="95"/>
      <c r="AT131" s="95"/>
      <c r="AU131" s="95"/>
      <c r="AV131" s="95"/>
      <c r="AW131" s="95"/>
      <c r="AX131" s="95"/>
      <c r="AY131" s="95"/>
      <c r="AZ131" s="95"/>
    </row>
    <row r="132" spans="1:52" x14ac:dyDescent="0.65">
      <c r="A132" s="87"/>
      <c r="B132" s="87"/>
      <c r="C132" s="87"/>
      <c r="D132" s="87"/>
      <c r="E132" s="90"/>
      <c r="F132" s="87"/>
      <c r="G132" s="87"/>
      <c r="H132" s="87"/>
      <c r="I132" s="87"/>
      <c r="J132" s="87"/>
      <c r="K132" s="87"/>
      <c r="L132" s="87"/>
      <c r="M132" s="87"/>
      <c r="N132" s="92"/>
      <c r="O132" s="87"/>
      <c r="P132" s="93"/>
      <c r="Q132" s="93"/>
      <c r="R132" s="93"/>
      <c r="S132" s="93"/>
      <c r="T132" s="93"/>
      <c r="U132" s="93"/>
      <c r="V132" s="93"/>
      <c r="W132" s="93"/>
      <c r="X132" s="93"/>
      <c r="Y132" s="93"/>
      <c r="Z132" s="93"/>
      <c r="AA132" s="93"/>
      <c r="AB132" s="94"/>
      <c r="AC132" s="94"/>
      <c r="AD132" s="94"/>
      <c r="AE132" s="94"/>
      <c r="AF132" s="95"/>
      <c r="AG132" s="95"/>
      <c r="AH132" s="95"/>
      <c r="AI132" s="95"/>
      <c r="AJ132" s="95"/>
      <c r="AK132" s="95"/>
      <c r="AL132" s="95"/>
      <c r="AM132" s="95"/>
      <c r="AN132" s="95"/>
      <c r="AO132" s="95"/>
      <c r="AP132" s="95"/>
      <c r="AQ132" s="95"/>
      <c r="AR132" s="95"/>
      <c r="AS132" s="95"/>
      <c r="AT132" s="95"/>
      <c r="AU132" s="95"/>
      <c r="AV132" s="95"/>
      <c r="AW132" s="95"/>
      <c r="AX132" s="95"/>
      <c r="AY132" s="95"/>
      <c r="AZ132" s="95"/>
    </row>
    <row r="133" spans="1:52" x14ac:dyDescent="0.65">
      <c r="A133" s="87"/>
      <c r="B133" s="87"/>
      <c r="C133" s="87"/>
      <c r="D133" s="87"/>
      <c r="E133" s="90"/>
      <c r="F133" s="87"/>
      <c r="G133" s="87"/>
      <c r="H133" s="87"/>
      <c r="I133" s="87"/>
      <c r="J133" s="87"/>
      <c r="K133" s="87"/>
      <c r="L133" s="87"/>
      <c r="M133" s="87"/>
      <c r="N133" s="92"/>
      <c r="O133" s="87"/>
      <c r="P133" s="93"/>
      <c r="Q133" s="93"/>
      <c r="R133" s="93"/>
      <c r="S133" s="93"/>
      <c r="T133" s="93"/>
      <c r="U133" s="93"/>
      <c r="V133" s="93"/>
      <c r="W133" s="93"/>
      <c r="X133" s="93"/>
      <c r="Y133" s="93"/>
      <c r="Z133" s="93"/>
      <c r="AA133" s="93"/>
      <c r="AB133" s="94"/>
      <c r="AC133" s="94"/>
      <c r="AD133" s="94"/>
      <c r="AE133" s="94"/>
      <c r="AF133" s="95"/>
      <c r="AG133" s="95"/>
      <c r="AH133" s="95"/>
      <c r="AI133" s="95"/>
      <c r="AJ133" s="95"/>
      <c r="AK133" s="95"/>
      <c r="AL133" s="95"/>
      <c r="AM133" s="95"/>
      <c r="AN133" s="95"/>
      <c r="AO133" s="95"/>
      <c r="AP133" s="95"/>
      <c r="AQ133" s="95"/>
      <c r="AR133" s="95"/>
      <c r="AS133" s="95"/>
      <c r="AT133" s="95"/>
      <c r="AU133" s="95"/>
      <c r="AV133" s="95"/>
      <c r="AW133" s="95"/>
      <c r="AX133" s="95"/>
      <c r="AY133" s="95"/>
      <c r="AZ133" s="95"/>
    </row>
    <row r="134" spans="1:52" x14ac:dyDescent="0.65">
      <c r="A134" s="87"/>
      <c r="B134" s="87"/>
      <c r="C134" s="87"/>
      <c r="D134" s="87"/>
      <c r="E134" s="90"/>
      <c r="F134" s="87"/>
      <c r="G134" s="87"/>
      <c r="H134" s="87"/>
      <c r="I134" s="87"/>
      <c r="J134" s="87"/>
      <c r="K134" s="87"/>
      <c r="L134" s="87"/>
      <c r="M134" s="87"/>
      <c r="N134" s="92"/>
      <c r="O134" s="87"/>
      <c r="P134" s="93"/>
      <c r="Q134" s="93"/>
      <c r="R134" s="93"/>
      <c r="S134" s="93"/>
      <c r="T134" s="93"/>
      <c r="U134" s="93"/>
      <c r="V134" s="93"/>
      <c r="W134" s="93"/>
      <c r="X134" s="93"/>
      <c r="Y134" s="93"/>
      <c r="Z134" s="93"/>
      <c r="AA134" s="93"/>
      <c r="AB134" s="94"/>
      <c r="AC134" s="94"/>
      <c r="AD134" s="94"/>
      <c r="AE134" s="94"/>
      <c r="AF134" s="95"/>
      <c r="AG134" s="95"/>
      <c r="AH134" s="95"/>
      <c r="AI134" s="95"/>
      <c r="AJ134" s="95"/>
      <c r="AK134" s="95"/>
      <c r="AL134" s="95"/>
      <c r="AM134" s="95"/>
      <c r="AN134" s="95"/>
      <c r="AO134" s="95"/>
      <c r="AP134" s="95"/>
      <c r="AQ134" s="95"/>
      <c r="AR134" s="95"/>
      <c r="AS134" s="95"/>
      <c r="AT134" s="95"/>
      <c r="AU134" s="95"/>
      <c r="AV134" s="95"/>
      <c r="AW134" s="95"/>
      <c r="AX134" s="95"/>
      <c r="AY134" s="95"/>
      <c r="AZ134" s="95"/>
    </row>
    <row r="135" spans="1:52" x14ac:dyDescent="0.65">
      <c r="A135" s="87"/>
      <c r="B135" s="87"/>
      <c r="C135" s="87"/>
      <c r="D135" s="87"/>
      <c r="E135" s="90"/>
      <c r="F135" s="87"/>
      <c r="G135" s="87"/>
      <c r="H135" s="87"/>
      <c r="I135" s="87"/>
      <c r="J135" s="87"/>
      <c r="K135" s="87"/>
      <c r="L135" s="87"/>
      <c r="M135" s="87"/>
      <c r="N135" s="92"/>
      <c r="O135" s="87"/>
      <c r="P135" s="93"/>
      <c r="Q135" s="93"/>
      <c r="R135" s="93"/>
      <c r="S135" s="93"/>
      <c r="T135" s="93"/>
      <c r="U135" s="93"/>
      <c r="V135" s="93"/>
      <c r="W135" s="93"/>
      <c r="X135" s="93"/>
      <c r="Y135" s="93"/>
      <c r="Z135" s="93"/>
      <c r="AA135" s="93"/>
      <c r="AB135" s="94"/>
      <c r="AC135" s="94"/>
      <c r="AD135" s="94"/>
      <c r="AE135" s="94"/>
      <c r="AF135" s="95"/>
      <c r="AG135" s="95"/>
      <c r="AH135" s="95"/>
      <c r="AI135" s="95"/>
      <c r="AJ135" s="95"/>
      <c r="AK135" s="95"/>
      <c r="AL135" s="95"/>
      <c r="AM135" s="95"/>
      <c r="AN135" s="95"/>
      <c r="AO135" s="95"/>
      <c r="AP135" s="95"/>
      <c r="AQ135" s="95"/>
      <c r="AR135" s="95"/>
      <c r="AS135" s="95"/>
      <c r="AT135" s="95"/>
      <c r="AU135" s="95"/>
      <c r="AV135" s="95"/>
      <c r="AW135" s="95"/>
      <c r="AX135" s="95"/>
      <c r="AY135" s="95"/>
      <c r="AZ135" s="95"/>
    </row>
    <row r="136" spans="1:52" x14ac:dyDescent="0.65">
      <c r="A136" s="87"/>
      <c r="B136" s="87"/>
      <c r="C136" s="87"/>
      <c r="D136" s="87"/>
      <c r="E136" s="90"/>
      <c r="F136" s="87"/>
      <c r="G136" s="87"/>
      <c r="H136" s="87"/>
      <c r="I136" s="87"/>
      <c r="J136" s="87"/>
      <c r="K136" s="87"/>
      <c r="L136" s="87"/>
      <c r="M136" s="87"/>
      <c r="N136" s="92"/>
      <c r="O136" s="87"/>
      <c r="P136" s="93"/>
      <c r="Q136" s="93"/>
      <c r="R136" s="93"/>
      <c r="S136" s="93"/>
      <c r="T136" s="93"/>
      <c r="U136" s="93"/>
      <c r="V136" s="93"/>
      <c r="W136" s="93"/>
      <c r="X136" s="93"/>
      <c r="Y136" s="93"/>
      <c r="Z136" s="93"/>
      <c r="AA136" s="93"/>
      <c r="AB136" s="94"/>
      <c r="AC136" s="94"/>
      <c r="AD136" s="94"/>
      <c r="AE136" s="94"/>
      <c r="AF136" s="95"/>
      <c r="AG136" s="95"/>
      <c r="AH136" s="95"/>
      <c r="AI136" s="95"/>
      <c r="AJ136" s="95"/>
      <c r="AK136" s="95"/>
      <c r="AL136" s="95"/>
      <c r="AM136" s="95"/>
      <c r="AN136" s="95"/>
      <c r="AO136" s="95"/>
      <c r="AP136" s="95"/>
      <c r="AQ136" s="95"/>
      <c r="AR136" s="95"/>
      <c r="AS136" s="95"/>
      <c r="AT136" s="95"/>
      <c r="AU136" s="95"/>
      <c r="AV136" s="95"/>
      <c r="AW136" s="95"/>
      <c r="AX136" s="95"/>
      <c r="AY136" s="95"/>
      <c r="AZ136" s="95"/>
    </row>
    <row r="137" spans="1:52" x14ac:dyDescent="0.65">
      <c r="A137" s="87"/>
      <c r="B137" s="87"/>
      <c r="C137" s="87"/>
      <c r="D137" s="87"/>
      <c r="E137" s="90"/>
      <c r="F137" s="87"/>
      <c r="G137" s="87"/>
      <c r="H137" s="87"/>
      <c r="I137" s="87"/>
      <c r="J137" s="87"/>
      <c r="K137" s="87"/>
      <c r="L137" s="87"/>
      <c r="M137" s="87"/>
      <c r="N137" s="92"/>
      <c r="O137" s="87"/>
      <c r="P137" s="93"/>
      <c r="Q137" s="93"/>
      <c r="R137" s="93"/>
      <c r="S137" s="93"/>
      <c r="T137" s="93"/>
      <c r="U137" s="93"/>
      <c r="V137" s="93"/>
      <c r="W137" s="93"/>
      <c r="X137" s="93"/>
      <c r="Y137" s="93"/>
      <c r="Z137" s="93"/>
      <c r="AA137" s="93"/>
      <c r="AB137" s="94"/>
      <c r="AC137" s="94"/>
      <c r="AD137" s="94"/>
      <c r="AE137" s="94"/>
      <c r="AF137" s="95"/>
      <c r="AG137" s="95"/>
      <c r="AH137" s="95"/>
      <c r="AI137" s="95"/>
      <c r="AJ137" s="95"/>
      <c r="AK137" s="95"/>
      <c r="AL137" s="95"/>
      <c r="AM137" s="95"/>
      <c r="AN137" s="95"/>
      <c r="AO137" s="95"/>
      <c r="AP137" s="95"/>
      <c r="AQ137" s="95"/>
      <c r="AR137" s="95"/>
      <c r="AS137" s="95"/>
      <c r="AT137" s="95"/>
      <c r="AU137" s="95"/>
      <c r="AV137" s="95"/>
      <c r="AW137" s="95"/>
      <c r="AX137" s="95"/>
      <c r="AY137" s="95"/>
      <c r="AZ137" s="95"/>
    </row>
    <row r="138" spans="1:52" x14ac:dyDescent="0.65">
      <c r="A138" s="87"/>
      <c r="B138" s="87"/>
      <c r="C138" s="87"/>
      <c r="D138" s="87"/>
      <c r="E138" s="90"/>
      <c r="F138" s="87"/>
      <c r="G138" s="87"/>
      <c r="H138" s="87"/>
      <c r="I138" s="87"/>
      <c r="J138" s="87"/>
      <c r="K138" s="87"/>
      <c r="L138" s="87"/>
      <c r="M138" s="87"/>
      <c r="N138" s="92"/>
      <c r="O138" s="87"/>
      <c r="P138" s="93"/>
      <c r="Q138" s="93"/>
      <c r="R138" s="93"/>
      <c r="S138" s="93"/>
      <c r="T138" s="93"/>
      <c r="U138" s="93"/>
      <c r="V138" s="93"/>
      <c r="W138" s="93"/>
      <c r="X138" s="93"/>
      <c r="Y138" s="93"/>
      <c r="Z138" s="93"/>
      <c r="AA138" s="93"/>
      <c r="AB138" s="94"/>
      <c r="AC138" s="94"/>
      <c r="AD138" s="94"/>
      <c r="AE138" s="94"/>
      <c r="AF138" s="95"/>
      <c r="AG138" s="95"/>
      <c r="AH138" s="95"/>
      <c r="AI138" s="95"/>
      <c r="AJ138" s="95"/>
      <c r="AK138" s="95"/>
      <c r="AL138" s="95"/>
      <c r="AM138" s="95"/>
      <c r="AN138" s="95"/>
      <c r="AO138" s="95"/>
      <c r="AP138" s="95"/>
      <c r="AQ138" s="95"/>
      <c r="AR138" s="95"/>
      <c r="AS138" s="95"/>
      <c r="AT138" s="95"/>
      <c r="AU138" s="95"/>
      <c r="AV138" s="95"/>
      <c r="AW138" s="95"/>
      <c r="AX138" s="95"/>
      <c r="AY138" s="95"/>
      <c r="AZ138" s="95"/>
    </row>
    <row r="139" spans="1:52" x14ac:dyDescent="0.65">
      <c r="A139" s="87"/>
      <c r="B139" s="87"/>
      <c r="C139" s="87"/>
      <c r="D139" s="87"/>
      <c r="E139" s="90"/>
      <c r="F139" s="87"/>
      <c r="G139" s="87"/>
      <c r="H139" s="87"/>
      <c r="I139" s="87"/>
      <c r="J139" s="87"/>
      <c r="K139" s="87"/>
      <c r="L139" s="87"/>
      <c r="M139" s="87"/>
      <c r="N139" s="92"/>
      <c r="O139" s="87"/>
      <c r="P139" s="93"/>
      <c r="Q139" s="93"/>
      <c r="R139" s="93"/>
      <c r="S139" s="93"/>
      <c r="T139" s="93"/>
      <c r="U139" s="93"/>
      <c r="V139" s="93"/>
      <c r="W139" s="93"/>
      <c r="X139" s="93"/>
      <c r="Y139" s="93"/>
      <c r="Z139" s="93"/>
      <c r="AA139" s="93"/>
      <c r="AB139" s="94"/>
      <c r="AC139" s="94"/>
      <c r="AD139" s="94"/>
      <c r="AE139" s="94"/>
      <c r="AF139" s="95"/>
      <c r="AG139" s="95"/>
      <c r="AH139" s="95"/>
      <c r="AI139" s="95"/>
      <c r="AJ139" s="95"/>
      <c r="AK139" s="95"/>
      <c r="AL139" s="95"/>
      <c r="AM139" s="95"/>
      <c r="AN139" s="95"/>
      <c r="AO139" s="95"/>
      <c r="AP139" s="95"/>
      <c r="AQ139" s="95"/>
      <c r="AR139" s="95"/>
      <c r="AS139" s="95"/>
      <c r="AT139" s="95"/>
      <c r="AU139" s="95"/>
      <c r="AV139" s="95"/>
      <c r="AW139" s="95"/>
      <c r="AX139" s="95"/>
      <c r="AY139" s="95"/>
      <c r="AZ139" s="95"/>
    </row>
    <row r="140" spans="1:52" x14ac:dyDescent="0.65">
      <c r="A140" s="87"/>
      <c r="B140" s="87"/>
      <c r="C140" s="87"/>
      <c r="D140" s="87"/>
      <c r="E140" s="90"/>
      <c r="F140" s="87"/>
      <c r="G140" s="87"/>
      <c r="H140" s="87"/>
      <c r="I140" s="87"/>
      <c r="J140" s="87"/>
      <c r="K140" s="87"/>
      <c r="L140" s="87"/>
      <c r="M140" s="87"/>
      <c r="N140" s="92"/>
      <c r="O140" s="87"/>
      <c r="P140" s="93"/>
      <c r="Q140" s="93"/>
      <c r="R140" s="93"/>
      <c r="S140" s="93"/>
      <c r="T140" s="93"/>
      <c r="U140" s="93"/>
      <c r="V140" s="93"/>
      <c r="W140" s="93"/>
      <c r="X140" s="93"/>
      <c r="Y140" s="93"/>
      <c r="Z140" s="93"/>
      <c r="AA140" s="93"/>
      <c r="AB140" s="94"/>
      <c r="AC140" s="94"/>
      <c r="AD140" s="94"/>
      <c r="AE140" s="94"/>
      <c r="AF140" s="95"/>
      <c r="AG140" s="95"/>
      <c r="AH140" s="95"/>
      <c r="AI140" s="95"/>
      <c r="AJ140" s="95"/>
      <c r="AK140" s="95"/>
      <c r="AL140" s="95"/>
      <c r="AM140" s="95"/>
      <c r="AN140" s="95"/>
      <c r="AO140" s="95"/>
      <c r="AP140" s="95"/>
      <c r="AQ140" s="95"/>
      <c r="AR140" s="95"/>
      <c r="AS140" s="95"/>
      <c r="AT140" s="95"/>
      <c r="AU140" s="95"/>
      <c r="AV140" s="95"/>
      <c r="AW140" s="95"/>
      <c r="AX140" s="95"/>
      <c r="AY140" s="95"/>
      <c r="AZ140" s="95"/>
    </row>
    <row r="141" spans="1:52" x14ac:dyDescent="0.65">
      <c r="A141" s="87"/>
      <c r="B141" s="87"/>
      <c r="C141" s="87"/>
      <c r="D141" s="87"/>
      <c r="E141" s="90"/>
      <c r="F141" s="87"/>
      <c r="G141" s="87"/>
      <c r="H141" s="87"/>
      <c r="I141" s="87"/>
      <c r="J141" s="87"/>
      <c r="K141" s="87"/>
      <c r="L141" s="87"/>
      <c r="M141" s="87"/>
      <c r="N141" s="92"/>
      <c r="O141" s="87"/>
      <c r="P141" s="93"/>
      <c r="Q141" s="93"/>
      <c r="R141" s="93"/>
      <c r="S141" s="93"/>
      <c r="T141" s="93"/>
      <c r="U141" s="93"/>
      <c r="V141" s="93"/>
      <c r="W141" s="93"/>
      <c r="X141" s="93"/>
      <c r="Y141" s="93"/>
      <c r="Z141" s="93"/>
      <c r="AA141" s="93"/>
      <c r="AB141" s="94"/>
      <c r="AC141" s="94"/>
      <c r="AD141" s="94"/>
      <c r="AE141" s="94"/>
      <c r="AF141" s="95"/>
      <c r="AG141" s="95"/>
      <c r="AH141" s="95"/>
      <c r="AI141" s="95"/>
      <c r="AJ141" s="95"/>
      <c r="AK141" s="95"/>
      <c r="AL141" s="95"/>
      <c r="AM141" s="95"/>
      <c r="AN141" s="95"/>
      <c r="AO141" s="95"/>
      <c r="AP141" s="95"/>
      <c r="AQ141" s="95"/>
      <c r="AR141" s="95"/>
      <c r="AS141" s="95"/>
      <c r="AT141" s="95"/>
      <c r="AU141" s="95"/>
      <c r="AV141" s="95"/>
      <c r="AW141" s="95"/>
      <c r="AX141" s="95"/>
      <c r="AY141" s="95"/>
      <c r="AZ141" s="95"/>
    </row>
    <row r="142" spans="1:52" x14ac:dyDescent="0.65">
      <c r="A142" s="87"/>
      <c r="B142" s="87"/>
      <c r="C142" s="87"/>
      <c r="D142" s="87"/>
      <c r="E142" s="90"/>
      <c r="F142" s="87"/>
      <c r="G142" s="87"/>
      <c r="H142" s="87"/>
      <c r="I142" s="87"/>
      <c r="J142" s="87"/>
      <c r="K142" s="87"/>
      <c r="L142" s="87"/>
      <c r="M142" s="87"/>
      <c r="N142" s="92"/>
      <c r="O142" s="87"/>
      <c r="P142" s="93"/>
      <c r="Q142" s="93"/>
      <c r="R142" s="93"/>
      <c r="S142" s="93"/>
      <c r="T142" s="93"/>
      <c r="U142" s="93"/>
      <c r="V142" s="93"/>
      <c r="W142" s="93"/>
      <c r="X142" s="93"/>
      <c r="Y142" s="93"/>
      <c r="Z142" s="93"/>
      <c r="AA142" s="93"/>
      <c r="AB142" s="94"/>
      <c r="AC142" s="94"/>
      <c r="AD142" s="94"/>
      <c r="AE142" s="94"/>
      <c r="AF142" s="95"/>
      <c r="AG142" s="95"/>
      <c r="AH142" s="95"/>
      <c r="AI142" s="95"/>
      <c r="AJ142" s="95"/>
      <c r="AK142" s="95"/>
      <c r="AL142" s="95"/>
      <c r="AM142" s="95"/>
      <c r="AN142" s="95"/>
      <c r="AO142" s="95"/>
      <c r="AP142" s="95"/>
      <c r="AQ142" s="95"/>
      <c r="AR142" s="95"/>
      <c r="AS142" s="95"/>
      <c r="AT142" s="95"/>
      <c r="AU142" s="95"/>
      <c r="AV142" s="95"/>
      <c r="AW142" s="95"/>
      <c r="AX142" s="95"/>
      <c r="AY142" s="95"/>
      <c r="AZ142" s="95"/>
    </row>
    <row r="143" spans="1:52" x14ac:dyDescent="0.65">
      <c r="A143" s="87"/>
      <c r="B143" s="87"/>
      <c r="C143" s="87"/>
      <c r="D143" s="87"/>
      <c r="E143" s="90"/>
      <c r="F143" s="87"/>
      <c r="G143" s="87"/>
      <c r="H143" s="87"/>
      <c r="I143" s="87"/>
      <c r="J143" s="87"/>
      <c r="K143" s="87"/>
      <c r="L143" s="87"/>
      <c r="M143" s="87"/>
      <c r="N143" s="92"/>
      <c r="O143" s="87"/>
      <c r="P143" s="93"/>
      <c r="Q143" s="93"/>
      <c r="R143" s="93"/>
      <c r="S143" s="93"/>
      <c r="T143" s="93"/>
      <c r="U143" s="93"/>
      <c r="V143" s="93"/>
      <c r="W143" s="93"/>
      <c r="X143" s="93"/>
      <c r="Y143" s="93"/>
      <c r="Z143" s="93"/>
      <c r="AA143" s="93"/>
      <c r="AB143" s="94"/>
      <c r="AC143" s="94"/>
      <c r="AD143" s="94"/>
      <c r="AE143" s="94"/>
      <c r="AF143" s="95"/>
      <c r="AG143" s="95"/>
      <c r="AH143" s="95"/>
      <c r="AI143" s="95"/>
      <c r="AJ143" s="95"/>
      <c r="AK143" s="95"/>
      <c r="AL143" s="95"/>
      <c r="AM143" s="95"/>
      <c r="AN143" s="95"/>
      <c r="AO143" s="95"/>
      <c r="AP143" s="95"/>
      <c r="AQ143" s="95"/>
      <c r="AR143" s="95"/>
      <c r="AS143" s="95"/>
      <c r="AT143" s="95"/>
      <c r="AU143" s="95"/>
      <c r="AV143" s="95"/>
      <c r="AW143" s="95"/>
      <c r="AX143" s="95"/>
      <c r="AY143" s="95"/>
      <c r="AZ143" s="95"/>
    </row>
    <row r="144" spans="1:52" x14ac:dyDescent="0.65">
      <c r="A144" s="87"/>
      <c r="B144" s="87"/>
      <c r="C144" s="87"/>
      <c r="D144" s="87"/>
      <c r="E144" s="90"/>
      <c r="F144" s="87"/>
      <c r="G144" s="87"/>
      <c r="H144" s="87"/>
      <c r="I144" s="87"/>
      <c r="J144" s="87"/>
      <c r="K144" s="87"/>
      <c r="L144" s="87"/>
      <c r="M144" s="87"/>
      <c r="N144" s="92"/>
      <c r="O144" s="87"/>
      <c r="P144" s="93"/>
      <c r="Q144" s="93"/>
      <c r="R144" s="93"/>
      <c r="S144" s="93"/>
      <c r="T144" s="93"/>
      <c r="U144" s="93"/>
      <c r="V144" s="93"/>
      <c r="W144" s="93"/>
      <c r="X144" s="93"/>
      <c r="Y144" s="93"/>
      <c r="Z144" s="93"/>
      <c r="AA144" s="93"/>
      <c r="AB144" s="94"/>
      <c r="AC144" s="94"/>
      <c r="AD144" s="94"/>
      <c r="AE144" s="94"/>
      <c r="AF144" s="95"/>
      <c r="AG144" s="95"/>
      <c r="AH144" s="95"/>
      <c r="AI144" s="95"/>
      <c r="AJ144" s="95"/>
      <c r="AK144" s="95"/>
      <c r="AL144" s="95"/>
      <c r="AM144" s="95"/>
      <c r="AN144" s="95"/>
      <c r="AO144" s="95"/>
      <c r="AP144" s="95"/>
      <c r="AQ144" s="95"/>
      <c r="AR144" s="95"/>
      <c r="AS144" s="95"/>
      <c r="AT144" s="95"/>
      <c r="AU144" s="95"/>
      <c r="AV144" s="95"/>
      <c r="AW144" s="95"/>
      <c r="AX144" s="95"/>
      <c r="AY144" s="95"/>
      <c r="AZ144" s="95"/>
    </row>
    <row r="145" spans="1:52" x14ac:dyDescent="0.65">
      <c r="A145" s="87"/>
      <c r="B145" s="87"/>
      <c r="C145" s="87"/>
      <c r="D145" s="87"/>
      <c r="E145" s="90"/>
      <c r="F145" s="87"/>
      <c r="G145" s="87"/>
      <c r="H145" s="87"/>
      <c r="I145" s="87"/>
      <c r="J145" s="87"/>
      <c r="K145" s="87"/>
      <c r="L145" s="87"/>
      <c r="M145" s="87"/>
      <c r="N145" s="92"/>
      <c r="O145" s="87"/>
      <c r="P145" s="93"/>
      <c r="Q145" s="93"/>
      <c r="R145" s="93"/>
      <c r="S145" s="93"/>
      <c r="T145" s="93"/>
      <c r="U145" s="93"/>
      <c r="V145" s="93"/>
      <c r="W145" s="93"/>
      <c r="X145" s="93"/>
      <c r="Y145" s="93"/>
      <c r="Z145" s="93"/>
      <c r="AA145" s="93"/>
      <c r="AB145" s="94"/>
      <c r="AC145" s="94"/>
      <c r="AD145" s="94"/>
      <c r="AE145" s="94"/>
      <c r="AF145" s="95"/>
      <c r="AG145" s="95"/>
      <c r="AH145" s="95"/>
      <c r="AI145" s="95"/>
      <c r="AJ145" s="95"/>
      <c r="AK145" s="95"/>
      <c r="AL145" s="95"/>
      <c r="AM145" s="95"/>
      <c r="AN145" s="95"/>
      <c r="AO145" s="95"/>
      <c r="AP145" s="95"/>
      <c r="AQ145" s="95"/>
      <c r="AR145" s="95"/>
      <c r="AS145" s="95"/>
      <c r="AT145" s="95"/>
      <c r="AU145" s="95"/>
      <c r="AV145" s="95"/>
      <c r="AW145" s="95"/>
      <c r="AX145" s="95"/>
      <c r="AY145" s="95"/>
      <c r="AZ145" s="95"/>
    </row>
    <row r="146" spans="1:52" x14ac:dyDescent="0.65">
      <c r="A146" s="87"/>
      <c r="B146" s="87"/>
      <c r="C146" s="87"/>
      <c r="D146" s="87"/>
      <c r="E146" s="90"/>
      <c r="F146" s="87"/>
      <c r="G146" s="87"/>
      <c r="H146" s="87"/>
      <c r="I146" s="87"/>
      <c r="J146" s="87"/>
      <c r="K146" s="87"/>
      <c r="L146" s="87"/>
      <c r="M146" s="87"/>
      <c r="N146" s="92"/>
      <c r="O146" s="87"/>
      <c r="P146" s="93"/>
      <c r="Q146" s="93"/>
      <c r="R146" s="93"/>
      <c r="S146" s="93"/>
      <c r="T146" s="93"/>
      <c r="U146" s="93"/>
      <c r="V146" s="93"/>
      <c r="W146" s="93"/>
      <c r="X146" s="93"/>
      <c r="Y146" s="93"/>
      <c r="Z146" s="93"/>
      <c r="AA146" s="93"/>
      <c r="AB146" s="94"/>
      <c r="AC146" s="94"/>
      <c r="AD146" s="94"/>
      <c r="AE146" s="94"/>
      <c r="AF146" s="95"/>
      <c r="AG146" s="95"/>
      <c r="AH146" s="95"/>
      <c r="AI146" s="95"/>
      <c r="AJ146" s="95"/>
      <c r="AK146" s="95"/>
      <c r="AL146" s="95"/>
      <c r="AM146" s="95"/>
      <c r="AN146" s="95"/>
      <c r="AO146" s="95"/>
      <c r="AP146" s="95"/>
      <c r="AQ146" s="95"/>
      <c r="AR146" s="95"/>
      <c r="AS146" s="95"/>
      <c r="AT146" s="95"/>
      <c r="AU146" s="95"/>
      <c r="AV146" s="95"/>
      <c r="AW146" s="95"/>
      <c r="AX146" s="95"/>
      <c r="AY146" s="95"/>
      <c r="AZ146" s="95"/>
    </row>
    <row r="147" spans="1:52" x14ac:dyDescent="0.65">
      <c r="A147" s="87"/>
      <c r="B147" s="87"/>
      <c r="C147" s="87"/>
      <c r="D147" s="87"/>
      <c r="E147" s="90"/>
      <c r="F147" s="87"/>
      <c r="G147" s="87"/>
      <c r="H147" s="87"/>
      <c r="I147" s="87"/>
      <c r="J147" s="87"/>
      <c r="K147" s="87"/>
      <c r="L147" s="87"/>
      <c r="M147" s="87"/>
      <c r="N147" s="92"/>
      <c r="O147" s="87"/>
      <c r="P147" s="93"/>
      <c r="Q147" s="93"/>
      <c r="R147" s="93"/>
      <c r="S147" s="93"/>
      <c r="T147" s="93"/>
      <c r="U147" s="93"/>
      <c r="V147" s="93"/>
      <c r="W147" s="93"/>
      <c r="X147" s="93"/>
      <c r="Y147" s="93"/>
      <c r="Z147" s="93"/>
      <c r="AA147" s="93"/>
      <c r="AB147" s="94"/>
      <c r="AC147" s="94"/>
      <c r="AD147" s="94"/>
      <c r="AE147" s="94"/>
      <c r="AF147" s="95"/>
      <c r="AG147" s="95"/>
      <c r="AH147" s="95"/>
      <c r="AI147" s="95"/>
      <c r="AJ147" s="95"/>
      <c r="AK147" s="95"/>
      <c r="AL147" s="95"/>
      <c r="AM147" s="95"/>
      <c r="AN147" s="95"/>
      <c r="AO147" s="95"/>
      <c r="AP147" s="95"/>
      <c r="AQ147" s="95"/>
      <c r="AR147" s="95"/>
      <c r="AS147" s="95"/>
      <c r="AT147" s="95"/>
      <c r="AU147" s="95"/>
      <c r="AV147" s="95"/>
      <c r="AW147" s="95"/>
      <c r="AX147" s="95"/>
      <c r="AY147" s="95"/>
      <c r="AZ147" s="95"/>
    </row>
    <row r="148" spans="1:52" x14ac:dyDescent="0.65">
      <c r="A148" s="87"/>
      <c r="B148" s="87"/>
      <c r="C148" s="87"/>
      <c r="D148" s="87"/>
      <c r="E148" s="90"/>
      <c r="F148" s="87"/>
      <c r="G148" s="87"/>
      <c r="H148" s="87"/>
      <c r="I148" s="87"/>
      <c r="J148" s="87"/>
      <c r="K148" s="87"/>
      <c r="L148" s="87"/>
      <c r="M148" s="87"/>
      <c r="N148" s="92"/>
      <c r="O148" s="87"/>
      <c r="P148" s="93"/>
      <c r="Q148" s="93"/>
      <c r="R148" s="93"/>
      <c r="S148" s="93"/>
      <c r="T148" s="93"/>
      <c r="U148" s="93"/>
      <c r="V148" s="93"/>
      <c r="W148" s="93"/>
      <c r="X148" s="93"/>
      <c r="Y148" s="93"/>
      <c r="Z148" s="93"/>
      <c r="AA148" s="93"/>
      <c r="AB148" s="94"/>
      <c r="AC148" s="94"/>
      <c r="AD148" s="94"/>
      <c r="AE148" s="94"/>
      <c r="AF148" s="95"/>
      <c r="AG148" s="95"/>
      <c r="AH148" s="95"/>
      <c r="AI148" s="95"/>
      <c r="AJ148" s="95"/>
      <c r="AK148" s="95"/>
      <c r="AL148" s="95"/>
      <c r="AM148" s="95"/>
      <c r="AN148" s="95"/>
      <c r="AO148" s="95"/>
      <c r="AP148" s="95"/>
      <c r="AQ148" s="95"/>
      <c r="AR148" s="95"/>
      <c r="AS148" s="95"/>
      <c r="AT148" s="95"/>
      <c r="AU148" s="95"/>
      <c r="AV148" s="95"/>
      <c r="AW148" s="95"/>
      <c r="AX148" s="95"/>
      <c r="AY148" s="95"/>
      <c r="AZ148" s="95"/>
    </row>
    <row r="149" spans="1:52" x14ac:dyDescent="0.65">
      <c r="A149" s="87"/>
      <c r="B149" s="87"/>
      <c r="C149" s="87"/>
      <c r="D149" s="87"/>
      <c r="E149" s="90"/>
      <c r="F149" s="87"/>
      <c r="G149" s="87"/>
      <c r="H149" s="87"/>
      <c r="I149" s="87"/>
      <c r="J149" s="87"/>
      <c r="K149" s="87"/>
      <c r="L149" s="87"/>
      <c r="M149" s="87"/>
      <c r="N149" s="92"/>
      <c r="O149" s="87"/>
      <c r="P149" s="93"/>
      <c r="Q149" s="93"/>
      <c r="R149" s="93"/>
      <c r="S149" s="93"/>
      <c r="T149" s="93"/>
      <c r="U149" s="93"/>
      <c r="V149" s="93"/>
      <c r="W149" s="93"/>
      <c r="X149" s="93"/>
      <c r="Y149" s="93"/>
      <c r="Z149" s="93"/>
      <c r="AA149" s="93"/>
      <c r="AB149" s="94"/>
      <c r="AC149" s="94"/>
      <c r="AD149" s="94"/>
      <c r="AE149" s="94"/>
      <c r="AF149" s="95"/>
      <c r="AG149" s="95"/>
      <c r="AH149" s="95"/>
      <c r="AI149" s="95"/>
      <c r="AJ149" s="95"/>
      <c r="AK149" s="95"/>
      <c r="AL149" s="95"/>
      <c r="AM149" s="95"/>
      <c r="AN149" s="95"/>
      <c r="AO149" s="95"/>
      <c r="AP149" s="95"/>
      <c r="AQ149" s="95"/>
      <c r="AR149" s="95"/>
      <c r="AS149" s="95"/>
      <c r="AT149" s="95"/>
      <c r="AU149" s="95"/>
      <c r="AV149" s="95"/>
      <c r="AW149" s="95"/>
      <c r="AX149" s="95"/>
      <c r="AY149" s="95"/>
      <c r="AZ149" s="95"/>
    </row>
    <row r="150" spans="1:52" x14ac:dyDescent="0.65">
      <c r="A150" s="87"/>
      <c r="B150" s="87"/>
      <c r="C150" s="87"/>
      <c r="D150" s="87"/>
      <c r="E150" s="90"/>
      <c r="F150" s="87"/>
      <c r="G150" s="87"/>
      <c r="H150" s="87"/>
      <c r="I150" s="87"/>
      <c r="J150" s="87"/>
      <c r="K150" s="87"/>
      <c r="L150" s="87"/>
      <c r="M150" s="87"/>
      <c r="N150" s="92"/>
      <c r="O150" s="87"/>
      <c r="P150" s="93"/>
      <c r="Q150" s="93"/>
      <c r="R150" s="93"/>
      <c r="S150" s="93"/>
      <c r="T150" s="93"/>
      <c r="U150" s="93"/>
      <c r="V150" s="93"/>
      <c r="W150" s="93"/>
      <c r="X150" s="93"/>
      <c r="Y150" s="93"/>
      <c r="Z150" s="93"/>
      <c r="AA150" s="93"/>
      <c r="AB150" s="94"/>
      <c r="AC150" s="94"/>
      <c r="AD150" s="94"/>
      <c r="AE150" s="94"/>
      <c r="AF150" s="95"/>
      <c r="AG150" s="95"/>
      <c r="AH150" s="95"/>
      <c r="AI150" s="95"/>
      <c r="AJ150" s="95"/>
      <c r="AK150" s="95"/>
      <c r="AL150" s="95"/>
      <c r="AM150" s="95"/>
      <c r="AN150" s="95"/>
      <c r="AO150" s="95"/>
      <c r="AP150" s="95"/>
      <c r="AQ150" s="95"/>
      <c r="AR150" s="95"/>
      <c r="AS150" s="95"/>
      <c r="AT150" s="95"/>
      <c r="AU150" s="95"/>
      <c r="AV150" s="95"/>
      <c r="AW150" s="95"/>
      <c r="AX150" s="95"/>
      <c r="AY150" s="95"/>
      <c r="AZ150" s="95"/>
    </row>
    <row r="151" spans="1:52" x14ac:dyDescent="0.65">
      <c r="A151" s="87"/>
      <c r="B151" s="87"/>
      <c r="C151" s="87"/>
      <c r="D151" s="87"/>
      <c r="E151" s="90"/>
      <c r="F151" s="87"/>
      <c r="G151" s="87"/>
      <c r="H151" s="87"/>
      <c r="I151" s="87"/>
      <c r="J151" s="87"/>
      <c r="K151" s="87"/>
      <c r="L151" s="87"/>
      <c r="M151" s="87"/>
      <c r="N151" s="92"/>
      <c r="O151" s="87"/>
      <c r="P151" s="93"/>
      <c r="Q151" s="93"/>
      <c r="R151" s="93"/>
      <c r="S151" s="93"/>
      <c r="T151" s="93"/>
      <c r="U151" s="93"/>
      <c r="V151" s="93"/>
      <c r="W151" s="93"/>
      <c r="X151" s="93"/>
      <c r="Y151" s="93"/>
      <c r="Z151" s="93"/>
      <c r="AA151" s="93"/>
      <c r="AB151" s="94"/>
      <c r="AC151" s="94"/>
      <c r="AD151" s="94"/>
      <c r="AE151" s="94"/>
      <c r="AF151" s="95"/>
      <c r="AG151" s="95"/>
      <c r="AH151" s="95"/>
      <c r="AI151" s="95"/>
      <c r="AJ151" s="95"/>
      <c r="AK151" s="95"/>
      <c r="AL151" s="95"/>
      <c r="AM151" s="95"/>
      <c r="AN151" s="95"/>
      <c r="AO151" s="95"/>
      <c r="AP151" s="95"/>
      <c r="AQ151" s="95"/>
      <c r="AR151" s="95"/>
      <c r="AS151" s="95"/>
      <c r="AT151" s="95"/>
      <c r="AU151" s="95"/>
      <c r="AV151" s="95"/>
      <c r="AW151" s="95"/>
      <c r="AX151" s="95"/>
      <c r="AY151" s="95"/>
      <c r="AZ151" s="95"/>
    </row>
    <row r="152" spans="1:52" x14ac:dyDescent="0.65">
      <c r="A152" s="87"/>
      <c r="B152" s="87"/>
      <c r="C152" s="87"/>
      <c r="D152" s="87"/>
      <c r="E152" s="90"/>
      <c r="F152" s="87"/>
      <c r="G152" s="87"/>
      <c r="H152" s="87"/>
      <c r="I152" s="87"/>
      <c r="J152" s="87"/>
      <c r="K152" s="87"/>
      <c r="L152" s="87"/>
      <c r="M152" s="87"/>
      <c r="N152" s="92"/>
      <c r="O152" s="87"/>
      <c r="P152" s="93"/>
      <c r="Q152" s="93"/>
      <c r="R152" s="93"/>
      <c r="S152" s="93"/>
      <c r="T152" s="93"/>
      <c r="U152" s="93"/>
      <c r="V152" s="93"/>
      <c r="W152" s="93"/>
      <c r="X152" s="93"/>
      <c r="Y152" s="93"/>
      <c r="Z152" s="93"/>
      <c r="AA152" s="93"/>
      <c r="AB152" s="94"/>
      <c r="AC152" s="94"/>
      <c r="AD152" s="94"/>
      <c r="AE152" s="94"/>
      <c r="AF152" s="95"/>
      <c r="AG152" s="95"/>
      <c r="AH152" s="95"/>
      <c r="AI152" s="95"/>
      <c r="AJ152" s="95"/>
      <c r="AK152" s="95"/>
      <c r="AL152" s="95"/>
      <c r="AM152" s="95"/>
      <c r="AN152" s="95"/>
      <c r="AO152" s="95"/>
      <c r="AP152" s="95"/>
      <c r="AQ152" s="95"/>
      <c r="AR152" s="95"/>
      <c r="AS152" s="95"/>
      <c r="AT152" s="95"/>
      <c r="AU152" s="95"/>
      <c r="AV152" s="95"/>
      <c r="AW152" s="95"/>
      <c r="AX152" s="95"/>
      <c r="AY152" s="95"/>
      <c r="AZ152" s="95"/>
    </row>
    <row r="153" spans="1:52" x14ac:dyDescent="0.65">
      <c r="A153" s="87"/>
      <c r="B153" s="87"/>
      <c r="C153" s="87"/>
      <c r="D153" s="87"/>
      <c r="E153" s="90"/>
      <c r="F153" s="87"/>
      <c r="G153" s="87"/>
      <c r="H153" s="87"/>
      <c r="I153" s="87"/>
      <c r="J153" s="87"/>
      <c r="K153" s="87"/>
      <c r="L153" s="87"/>
      <c r="M153" s="87"/>
      <c r="N153" s="92"/>
      <c r="O153" s="87"/>
      <c r="P153" s="93"/>
      <c r="Q153" s="93"/>
      <c r="R153" s="93"/>
      <c r="S153" s="93"/>
      <c r="T153" s="93"/>
      <c r="U153" s="93"/>
      <c r="V153" s="93"/>
      <c r="W153" s="93"/>
      <c r="X153" s="93"/>
      <c r="Y153" s="93"/>
      <c r="Z153" s="93"/>
      <c r="AA153" s="93"/>
      <c r="AB153" s="94"/>
      <c r="AC153" s="94"/>
      <c r="AD153" s="94"/>
      <c r="AE153" s="94"/>
      <c r="AF153" s="95"/>
      <c r="AG153" s="95"/>
      <c r="AH153" s="95"/>
      <c r="AI153" s="95"/>
      <c r="AJ153" s="95"/>
      <c r="AK153" s="95"/>
      <c r="AL153" s="95"/>
      <c r="AM153" s="95"/>
      <c r="AN153" s="95"/>
      <c r="AO153" s="95"/>
      <c r="AP153" s="95"/>
      <c r="AQ153" s="95"/>
      <c r="AR153" s="95"/>
      <c r="AS153" s="95"/>
      <c r="AT153" s="95"/>
      <c r="AU153" s="95"/>
      <c r="AV153" s="95"/>
      <c r="AW153" s="95"/>
      <c r="AX153" s="95"/>
      <c r="AY153" s="95"/>
      <c r="AZ153" s="95"/>
    </row>
    <row r="154" spans="1:52" x14ac:dyDescent="0.65">
      <c r="A154" s="87"/>
      <c r="B154" s="87"/>
      <c r="C154" s="87"/>
      <c r="D154" s="87"/>
      <c r="E154" s="90"/>
      <c r="F154" s="87"/>
      <c r="G154" s="87"/>
      <c r="H154" s="87"/>
      <c r="I154" s="87"/>
      <c r="J154" s="87"/>
      <c r="K154" s="87"/>
      <c r="L154" s="87"/>
      <c r="M154" s="87"/>
      <c r="N154" s="92"/>
      <c r="O154" s="87"/>
      <c r="P154" s="93"/>
      <c r="Q154" s="93"/>
      <c r="R154" s="93"/>
      <c r="S154" s="93"/>
      <c r="T154" s="93"/>
      <c r="U154" s="93"/>
      <c r="V154" s="93"/>
      <c r="W154" s="93"/>
      <c r="X154" s="93"/>
      <c r="Y154" s="93"/>
      <c r="Z154" s="93"/>
      <c r="AA154" s="93"/>
      <c r="AB154" s="94"/>
      <c r="AC154" s="94"/>
      <c r="AD154" s="94"/>
      <c r="AE154" s="94"/>
      <c r="AF154" s="95"/>
      <c r="AG154" s="95"/>
      <c r="AH154" s="95"/>
      <c r="AI154" s="95"/>
      <c r="AJ154" s="95"/>
      <c r="AK154" s="95"/>
      <c r="AL154" s="95"/>
      <c r="AM154" s="95"/>
      <c r="AN154" s="95"/>
      <c r="AO154" s="95"/>
      <c r="AP154" s="95"/>
      <c r="AQ154" s="95"/>
      <c r="AR154" s="95"/>
      <c r="AS154" s="95"/>
      <c r="AT154" s="95"/>
      <c r="AU154" s="95"/>
      <c r="AV154" s="95"/>
      <c r="AW154" s="95"/>
      <c r="AX154" s="95"/>
      <c r="AY154" s="95"/>
      <c r="AZ154" s="95"/>
    </row>
    <row r="155" spans="1:52" x14ac:dyDescent="0.65">
      <c r="A155" s="87"/>
      <c r="B155" s="87"/>
      <c r="C155" s="87"/>
      <c r="D155" s="87"/>
      <c r="E155" s="90"/>
      <c r="F155" s="87"/>
      <c r="G155" s="87"/>
      <c r="H155" s="87"/>
      <c r="I155" s="87"/>
      <c r="J155" s="87"/>
      <c r="K155" s="87"/>
      <c r="L155" s="87"/>
      <c r="M155" s="87"/>
      <c r="N155" s="92"/>
      <c r="O155" s="87"/>
      <c r="P155" s="93"/>
      <c r="Q155" s="93"/>
      <c r="R155" s="93"/>
      <c r="S155" s="93"/>
      <c r="T155" s="93"/>
      <c r="U155" s="93"/>
      <c r="V155" s="93"/>
      <c r="W155" s="93"/>
      <c r="X155" s="93"/>
      <c r="Y155" s="93"/>
      <c r="Z155" s="93"/>
      <c r="AA155" s="93"/>
      <c r="AB155" s="94"/>
      <c r="AC155" s="94"/>
      <c r="AD155" s="94"/>
      <c r="AE155" s="94"/>
      <c r="AF155" s="95"/>
      <c r="AG155" s="95"/>
      <c r="AH155" s="95"/>
      <c r="AI155" s="95"/>
      <c r="AJ155" s="95"/>
      <c r="AK155" s="95"/>
      <c r="AL155" s="95"/>
      <c r="AM155" s="95"/>
      <c r="AN155" s="95"/>
      <c r="AO155" s="95"/>
      <c r="AP155" s="95"/>
      <c r="AQ155" s="95"/>
      <c r="AR155" s="95"/>
      <c r="AS155" s="95"/>
      <c r="AT155" s="95"/>
      <c r="AU155" s="95"/>
      <c r="AV155" s="95"/>
      <c r="AW155" s="95"/>
      <c r="AX155" s="95"/>
      <c r="AY155" s="95"/>
      <c r="AZ155" s="95"/>
    </row>
    <row r="156" spans="1:52" x14ac:dyDescent="0.65">
      <c r="A156" s="87"/>
      <c r="B156" s="87"/>
      <c r="C156" s="87"/>
      <c r="D156" s="87"/>
      <c r="E156" s="90"/>
      <c r="F156" s="87"/>
      <c r="G156" s="87"/>
      <c r="H156" s="87"/>
      <c r="I156" s="87"/>
      <c r="J156" s="87"/>
      <c r="K156" s="87"/>
      <c r="L156" s="87"/>
      <c r="M156" s="87"/>
      <c r="N156" s="92"/>
      <c r="O156" s="87"/>
      <c r="P156" s="93"/>
      <c r="Q156" s="93"/>
      <c r="R156" s="93"/>
      <c r="S156" s="93"/>
      <c r="T156" s="93"/>
      <c r="U156" s="93"/>
      <c r="V156" s="93"/>
      <c r="W156" s="93"/>
      <c r="X156" s="93"/>
      <c r="Y156" s="93"/>
      <c r="Z156" s="93"/>
      <c r="AA156" s="93"/>
      <c r="AB156" s="94"/>
      <c r="AC156" s="94"/>
      <c r="AD156" s="94"/>
      <c r="AE156" s="94"/>
      <c r="AF156" s="95"/>
      <c r="AG156" s="95"/>
      <c r="AH156" s="95"/>
      <c r="AI156" s="95"/>
      <c r="AJ156" s="95"/>
      <c r="AK156" s="95"/>
      <c r="AL156" s="95"/>
      <c r="AM156" s="95"/>
      <c r="AN156" s="95"/>
      <c r="AO156" s="95"/>
      <c r="AP156" s="95"/>
      <c r="AQ156" s="95"/>
      <c r="AR156" s="95"/>
      <c r="AS156" s="95"/>
      <c r="AT156" s="95"/>
      <c r="AU156" s="95"/>
      <c r="AV156" s="95"/>
      <c r="AW156" s="95"/>
      <c r="AX156" s="95"/>
      <c r="AY156" s="95"/>
      <c r="AZ156" s="95"/>
    </row>
    <row r="157" spans="1:52" x14ac:dyDescent="0.65">
      <c r="A157" s="87"/>
      <c r="B157" s="87"/>
      <c r="C157" s="87"/>
      <c r="D157" s="87"/>
      <c r="E157" s="90"/>
      <c r="F157" s="87"/>
      <c r="G157" s="87"/>
      <c r="H157" s="87"/>
      <c r="I157" s="87"/>
      <c r="J157" s="87"/>
      <c r="K157" s="87"/>
      <c r="L157" s="87"/>
      <c r="M157" s="87"/>
      <c r="N157" s="92"/>
      <c r="O157" s="87"/>
      <c r="P157" s="93"/>
      <c r="Q157" s="93"/>
      <c r="R157" s="93"/>
      <c r="S157" s="93"/>
      <c r="T157" s="93"/>
      <c r="U157" s="93"/>
      <c r="V157" s="93"/>
      <c r="W157" s="93"/>
      <c r="X157" s="93"/>
      <c r="Y157" s="93"/>
      <c r="Z157" s="93"/>
      <c r="AA157" s="93"/>
      <c r="AB157" s="94"/>
      <c r="AC157" s="94"/>
      <c r="AD157" s="94"/>
      <c r="AE157" s="94"/>
      <c r="AF157" s="95"/>
      <c r="AG157" s="95"/>
      <c r="AH157" s="95"/>
      <c r="AI157" s="95"/>
      <c r="AJ157" s="95"/>
      <c r="AK157" s="95"/>
      <c r="AL157" s="95"/>
      <c r="AM157" s="95"/>
      <c r="AN157" s="95"/>
      <c r="AO157" s="95"/>
      <c r="AP157" s="95"/>
      <c r="AQ157" s="95"/>
      <c r="AR157" s="95"/>
      <c r="AS157" s="95"/>
      <c r="AT157" s="95"/>
      <c r="AU157" s="95"/>
      <c r="AV157" s="95"/>
      <c r="AW157" s="95"/>
      <c r="AX157" s="95"/>
      <c r="AY157" s="95"/>
      <c r="AZ157" s="95"/>
    </row>
    <row r="158" spans="1:52" x14ac:dyDescent="0.65">
      <c r="A158" s="87"/>
      <c r="B158" s="87"/>
      <c r="C158" s="87"/>
      <c r="D158" s="87"/>
      <c r="E158" s="90"/>
      <c r="F158" s="87"/>
      <c r="G158" s="87"/>
      <c r="H158" s="87"/>
      <c r="I158" s="87"/>
      <c r="J158" s="87"/>
      <c r="K158" s="87"/>
      <c r="L158" s="87"/>
      <c r="M158" s="87"/>
      <c r="N158" s="92"/>
      <c r="O158" s="87"/>
      <c r="P158" s="93"/>
      <c r="Q158" s="93"/>
      <c r="R158" s="93"/>
      <c r="S158" s="93"/>
      <c r="T158" s="93"/>
      <c r="U158" s="93"/>
      <c r="V158" s="93"/>
      <c r="W158" s="93"/>
      <c r="X158" s="93"/>
      <c r="Y158" s="93"/>
      <c r="Z158" s="93"/>
      <c r="AA158" s="93"/>
      <c r="AB158" s="94"/>
      <c r="AC158" s="94"/>
      <c r="AD158" s="94"/>
      <c r="AE158" s="94"/>
      <c r="AF158" s="95"/>
      <c r="AG158" s="95"/>
      <c r="AH158" s="95"/>
      <c r="AI158" s="95"/>
      <c r="AJ158" s="95"/>
      <c r="AK158" s="95"/>
      <c r="AL158" s="95"/>
      <c r="AM158" s="95"/>
      <c r="AN158" s="95"/>
      <c r="AO158" s="95"/>
      <c r="AP158" s="95"/>
      <c r="AQ158" s="95"/>
      <c r="AR158" s="95"/>
      <c r="AS158" s="95"/>
      <c r="AT158" s="95"/>
      <c r="AU158" s="95"/>
      <c r="AV158" s="95"/>
      <c r="AW158" s="95"/>
      <c r="AX158" s="95"/>
      <c r="AY158" s="95"/>
      <c r="AZ158" s="95"/>
    </row>
    <row r="159" spans="1:52" x14ac:dyDescent="0.65">
      <c r="A159" s="87"/>
      <c r="B159" s="87"/>
      <c r="C159" s="87"/>
      <c r="D159" s="87"/>
      <c r="E159" s="90"/>
      <c r="F159" s="87"/>
      <c r="G159" s="87"/>
      <c r="H159" s="87"/>
      <c r="I159" s="87"/>
      <c r="J159" s="87"/>
      <c r="K159" s="87"/>
      <c r="L159" s="87"/>
      <c r="M159" s="87"/>
      <c r="N159" s="92"/>
      <c r="O159" s="87"/>
      <c r="P159" s="93"/>
      <c r="Q159" s="93"/>
      <c r="R159" s="93"/>
      <c r="S159" s="93"/>
      <c r="T159" s="93"/>
      <c r="U159" s="93"/>
      <c r="V159" s="93"/>
      <c r="W159" s="93"/>
      <c r="X159" s="93"/>
      <c r="Y159" s="93"/>
      <c r="Z159" s="93"/>
      <c r="AA159" s="93"/>
      <c r="AB159" s="94"/>
      <c r="AC159" s="94"/>
      <c r="AD159" s="94"/>
      <c r="AE159" s="94"/>
      <c r="AF159" s="95"/>
      <c r="AG159" s="95"/>
      <c r="AH159" s="95"/>
      <c r="AI159" s="95"/>
      <c r="AJ159" s="95"/>
      <c r="AK159" s="95"/>
      <c r="AL159" s="95"/>
      <c r="AM159" s="95"/>
      <c r="AN159" s="95"/>
      <c r="AO159" s="95"/>
      <c r="AP159" s="95"/>
      <c r="AQ159" s="95"/>
      <c r="AR159" s="95"/>
      <c r="AS159" s="95"/>
      <c r="AT159" s="95"/>
      <c r="AU159" s="95"/>
      <c r="AV159" s="95"/>
      <c r="AW159" s="95"/>
      <c r="AX159" s="95"/>
      <c r="AY159" s="95"/>
      <c r="AZ159" s="95"/>
    </row>
    <row r="160" spans="1:52" x14ac:dyDescent="0.65">
      <c r="A160" s="87"/>
      <c r="B160" s="87"/>
      <c r="C160" s="87"/>
      <c r="D160" s="87"/>
      <c r="E160" s="90"/>
      <c r="F160" s="87"/>
      <c r="G160" s="87"/>
      <c r="H160" s="87"/>
      <c r="I160" s="87"/>
      <c r="J160" s="87"/>
      <c r="K160" s="87"/>
      <c r="L160" s="87"/>
      <c r="M160" s="87"/>
      <c r="N160" s="92"/>
      <c r="O160" s="87"/>
      <c r="P160" s="93"/>
      <c r="Q160" s="93"/>
      <c r="R160" s="93"/>
      <c r="S160" s="93"/>
      <c r="T160" s="93"/>
      <c r="U160" s="93"/>
      <c r="V160" s="93"/>
      <c r="W160" s="93"/>
      <c r="X160" s="93"/>
      <c r="Y160" s="93"/>
      <c r="Z160" s="93"/>
      <c r="AA160" s="93"/>
      <c r="AB160" s="94"/>
      <c r="AC160" s="94"/>
      <c r="AD160" s="94"/>
      <c r="AE160" s="94"/>
      <c r="AF160" s="95"/>
      <c r="AG160" s="95"/>
      <c r="AH160" s="95"/>
      <c r="AI160" s="95"/>
      <c r="AJ160" s="95"/>
      <c r="AK160" s="95"/>
      <c r="AL160" s="95"/>
      <c r="AM160" s="95"/>
      <c r="AN160" s="95"/>
      <c r="AO160" s="95"/>
      <c r="AP160" s="95"/>
      <c r="AQ160" s="95"/>
      <c r="AR160" s="95"/>
      <c r="AS160" s="95"/>
      <c r="AT160" s="95"/>
      <c r="AU160" s="95"/>
      <c r="AV160" s="95"/>
      <c r="AW160" s="95"/>
      <c r="AX160" s="95"/>
      <c r="AY160" s="95"/>
      <c r="AZ160" s="95"/>
    </row>
    <row r="161" spans="1:52" x14ac:dyDescent="0.65">
      <c r="A161" s="87"/>
      <c r="B161" s="87"/>
      <c r="C161" s="87"/>
      <c r="D161" s="87"/>
      <c r="E161" s="90"/>
      <c r="F161" s="87"/>
      <c r="G161" s="87"/>
      <c r="H161" s="87"/>
      <c r="I161" s="87"/>
      <c r="J161" s="87"/>
      <c r="K161" s="87"/>
      <c r="L161" s="87"/>
      <c r="M161" s="87"/>
      <c r="N161" s="92"/>
      <c r="O161" s="87"/>
      <c r="P161" s="93"/>
      <c r="Q161" s="93"/>
      <c r="R161" s="93"/>
      <c r="S161" s="93"/>
      <c r="T161" s="93"/>
      <c r="U161" s="93"/>
      <c r="V161" s="93"/>
      <c r="W161" s="93"/>
      <c r="X161" s="93"/>
      <c r="Y161" s="93"/>
      <c r="Z161" s="93"/>
      <c r="AA161" s="93"/>
      <c r="AB161" s="94"/>
      <c r="AC161" s="94"/>
      <c r="AD161" s="94"/>
      <c r="AE161" s="94"/>
      <c r="AF161" s="95"/>
      <c r="AG161" s="95"/>
      <c r="AH161" s="95"/>
      <c r="AI161" s="95"/>
      <c r="AJ161" s="95"/>
      <c r="AK161" s="95"/>
      <c r="AL161" s="95"/>
      <c r="AM161" s="95"/>
      <c r="AN161" s="95"/>
      <c r="AO161" s="95"/>
      <c r="AP161" s="95"/>
      <c r="AQ161" s="95"/>
      <c r="AR161" s="95"/>
      <c r="AS161" s="95"/>
      <c r="AT161" s="95"/>
      <c r="AU161" s="95"/>
      <c r="AV161" s="95"/>
      <c r="AW161" s="95"/>
      <c r="AX161" s="95"/>
      <c r="AY161" s="95"/>
      <c r="AZ161" s="95"/>
    </row>
    <row r="162" spans="1:52" x14ac:dyDescent="0.65">
      <c r="A162" s="87"/>
      <c r="B162" s="87"/>
      <c r="C162" s="87"/>
      <c r="D162" s="87"/>
      <c r="E162" s="90"/>
      <c r="F162" s="87"/>
      <c r="G162" s="87"/>
      <c r="H162" s="87"/>
      <c r="I162" s="87"/>
      <c r="J162" s="87"/>
      <c r="K162" s="87"/>
      <c r="L162" s="87"/>
      <c r="M162" s="87"/>
      <c r="N162" s="92"/>
      <c r="O162" s="87"/>
      <c r="P162" s="93"/>
      <c r="Q162" s="93"/>
      <c r="R162" s="93"/>
      <c r="S162" s="93"/>
      <c r="T162" s="93"/>
      <c r="U162" s="93"/>
      <c r="V162" s="93"/>
      <c r="W162" s="93"/>
      <c r="X162" s="93"/>
      <c r="Y162" s="93"/>
      <c r="Z162" s="93"/>
      <c r="AA162" s="93"/>
      <c r="AB162" s="94"/>
      <c r="AC162" s="94"/>
      <c r="AD162" s="94"/>
      <c r="AE162" s="94"/>
      <c r="AF162" s="95"/>
      <c r="AG162" s="95"/>
      <c r="AH162" s="95"/>
      <c r="AI162" s="95"/>
      <c r="AJ162" s="95"/>
      <c r="AK162" s="95"/>
      <c r="AL162" s="95"/>
      <c r="AM162" s="95"/>
      <c r="AN162" s="95"/>
      <c r="AO162" s="95"/>
      <c r="AP162" s="95"/>
      <c r="AQ162" s="95"/>
      <c r="AR162" s="95"/>
      <c r="AS162" s="95"/>
      <c r="AT162" s="95"/>
      <c r="AU162" s="95"/>
      <c r="AV162" s="95"/>
      <c r="AW162" s="95"/>
      <c r="AX162" s="95"/>
      <c r="AY162" s="95"/>
      <c r="AZ162" s="95"/>
    </row>
    <row r="163" spans="1:52" x14ac:dyDescent="0.65">
      <c r="A163" s="87"/>
      <c r="B163" s="87"/>
      <c r="C163" s="87"/>
      <c r="D163" s="87"/>
      <c r="E163" s="90"/>
      <c r="F163" s="87"/>
      <c r="G163" s="87"/>
      <c r="H163" s="87"/>
      <c r="I163" s="87"/>
      <c r="J163" s="87"/>
      <c r="K163" s="87"/>
      <c r="L163" s="87"/>
      <c r="M163" s="87"/>
      <c r="N163" s="92"/>
      <c r="O163" s="87"/>
      <c r="P163" s="93"/>
      <c r="Q163" s="93"/>
      <c r="R163" s="93"/>
      <c r="S163" s="93"/>
      <c r="T163" s="93"/>
      <c r="U163" s="93"/>
      <c r="V163" s="93"/>
      <c r="W163" s="93"/>
      <c r="X163" s="93"/>
      <c r="Y163" s="93"/>
      <c r="Z163" s="93"/>
      <c r="AA163" s="93"/>
      <c r="AB163" s="94"/>
      <c r="AC163" s="94"/>
      <c r="AD163" s="94"/>
      <c r="AE163" s="94"/>
      <c r="AF163" s="95"/>
      <c r="AG163" s="95"/>
      <c r="AH163" s="95"/>
      <c r="AI163" s="95"/>
      <c r="AJ163" s="95"/>
      <c r="AK163" s="95"/>
      <c r="AL163" s="95"/>
      <c r="AM163" s="95"/>
      <c r="AN163" s="95"/>
      <c r="AO163" s="95"/>
      <c r="AP163" s="95"/>
      <c r="AQ163" s="95"/>
      <c r="AR163" s="95"/>
      <c r="AS163" s="95"/>
      <c r="AT163" s="95"/>
      <c r="AU163" s="95"/>
      <c r="AV163" s="95"/>
      <c r="AW163" s="95"/>
      <c r="AX163" s="95"/>
      <c r="AY163" s="95"/>
      <c r="AZ163" s="95"/>
    </row>
    <row r="164" spans="1:52" x14ac:dyDescent="0.65">
      <c r="A164" s="87"/>
      <c r="B164" s="87"/>
      <c r="C164" s="87"/>
      <c r="D164" s="87"/>
      <c r="E164" s="90"/>
      <c r="F164" s="87"/>
      <c r="G164" s="87"/>
      <c r="H164" s="87"/>
      <c r="I164" s="87"/>
      <c r="J164" s="87"/>
      <c r="K164" s="87"/>
      <c r="L164" s="87"/>
      <c r="M164" s="87"/>
      <c r="N164" s="92"/>
      <c r="O164" s="87"/>
      <c r="P164" s="93"/>
      <c r="Q164" s="93"/>
      <c r="R164" s="93"/>
      <c r="S164" s="93"/>
      <c r="T164" s="93"/>
      <c r="U164" s="93"/>
      <c r="V164" s="93"/>
      <c r="W164" s="93"/>
      <c r="X164" s="93"/>
      <c r="Y164" s="93"/>
      <c r="Z164" s="93"/>
      <c r="AA164" s="93"/>
      <c r="AB164" s="94"/>
      <c r="AC164" s="94"/>
      <c r="AD164" s="94"/>
      <c r="AE164" s="94"/>
      <c r="AF164" s="95"/>
      <c r="AG164" s="95"/>
      <c r="AH164" s="95"/>
      <c r="AI164" s="95"/>
      <c r="AJ164" s="95"/>
      <c r="AK164" s="95"/>
      <c r="AL164" s="95"/>
      <c r="AM164" s="95"/>
      <c r="AN164" s="95"/>
      <c r="AO164" s="95"/>
      <c r="AP164" s="95"/>
      <c r="AQ164" s="95"/>
      <c r="AR164" s="95"/>
      <c r="AS164" s="95"/>
      <c r="AT164" s="95"/>
      <c r="AU164" s="95"/>
      <c r="AV164" s="95"/>
      <c r="AW164" s="95"/>
      <c r="AX164" s="95"/>
      <c r="AY164" s="95"/>
      <c r="AZ164" s="95"/>
    </row>
    <row r="165" spans="1:52" x14ac:dyDescent="0.65">
      <c r="A165" s="87"/>
      <c r="B165" s="87"/>
      <c r="C165" s="87"/>
      <c r="D165" s="87"/>
      <c r="E165" s="90"/>
      <c r="F165" s="87"/>
      <c r="G165" s="87"/>
      <c r="H165" s="87"/>
      <c r="I165" s="87"/>
      <c r="J165" s="87"/>
      <c r="K165" s="87"/>
      <c r="L165" s="87"/>
      <c r="M165" s="87"/>
      <c r="N165" s="92"/>
      <c r="O165" s="87"/>
      <c r="P165" s="93"/>
      <c r="Q165" s="93"/>
      <c r="R165" s="93"/>
      <c r="S165" s="93"/>
      <c r="T165" s="93"/>
      <c r="U165" s="93"/>
      <c r="V165" s="93"/>
      <c r="W165" s="93"/>
      <c r="X165" s="93"/>
      <c r="Y165" s="93"/>
      <c r="Z165" s="93"/>
      <c r="AA165" s="93"/>
      <c r="AB165" s="94"/>
      <c r="AC165" s="94"/>
      <c r="AD165" s="94"/>
      <c r="AE165" s="94"/>
      <c r="AF165" s="95"/>
      <c r="AG165" s="95"/>
      <c r="AH165" s="95"/>
      <c r="AI165" s="95"/>
      <c r="AJ165" s="95"/>
      <c r="AK165" s="95"/>
      <c r="AL165" s="95"/>
      <c r="AM165" s="95"/>
      <c r="AN165" s="95"/>
      <c r="AO165" s="95"/>
      <c r="AP165" s="95"/>
      <c r="AQ165" s="95"/>
      <c r="AR165" s="95"/>
      <c r="AS165" s="95"/>
      <c r="AT165" s="95"/>
      <c r="AU165" s="95"/>
      <c r="AV165" s="95"/>
      <c r="AW165" s="95"/>
      <c r="AX165" s="95"/>
      <c r="AY165" s="95"/>
      <c r="AZ165" s="95"/>
    </row>
    <row r="166" spans="1:52" x14ac:dyDescent="0.65">
      <c r="A166" s="87"/>
      <c r="B166" s="87"/>
      <c r="C166" s="87"/>
      <c r="D166" s="87"/>
      <c r="E166" s="90"/>
      <c r="F166" s="87"/>
      <c r="G166" s="87"/>
      <c r="H166" s="87"/>
      <c r="I166" s="87"/>
      <c r="J166" s="87"/>
      <c r="K166" s="87"/>
      <c r="L166" s="87"/>
      <c r="M166" s="87"/>
      <c r="N166" s="92"/>
      <c r="O166" s="87"/>
      <c r="P166" s="93"/>
      <c r="Q166" s="93"/>
      <c r="R166" s="93"/>
      <c r="S166" s="93"/>
      <c r="T166" s="93"/>
      <c r="U166" s="93"/>
      <c r="V166" s="93"/>
      <c r="W166" s="93"/>
      <c r="X166" s="93"/>
      <c r="Y166" s="93"/>
      <c r="Z166" s="93"/>
      <c r="AA166" s="93"/>
      <c r="AB166" s="94"/>
      <c r="AC166" s="94"/>
      <c r="AD166" s="94"/>
      <c r="AE166" s="94"/>
      <c r="AF166" s="95"/>
      <c r="AG166" s="95"/>
      <c r="AH166" s="95"/>
      <c r="AI166" s="95"/>
      <c r="AJ166" s="95"/>
      <c r="AK166" s="95"/>
      <c r="AL166" s="95"/>
      <c r="AM166" s="95"/>
      <c r="AN166" s="95"/>
      <c r="AO166" s="95"/>
      <c r="AP166" s="95"/>
      <c r="AQ166" s="95"/>
      <c r="AR166" s="95"/>
      <c r="AS166" s="95"/>
      <c r="AT166" s="95"/>
      <c r="AU166" s="95"/>
      <c r="AV166" s="95"/>
      <c r="AW166" s="95"/>
      <c r="AX166" s="95"/>
      <c r="AY166" s="95"/>
      <c r="AZ166" s="95"/>
    </row>
    <row r="167" spans="1:52" x14ac:dyDescent="0.65">
      <c r="A167" s="87"/>
      <c r="B167" s="87"/>
      <c r="C167" s="87"/>
      <c r="D167" s="87"/>
      <c r="E167" s="90"/>
      <c r="F167" s="87"/>
      <c r="G167" s="87"/>
      <c r="H167" s="87"/>
      <c r="I167" s="87"/>
      <c r="J167" s="87"/>
      <c r="K167" s="87"/>
      <c r="L167" s="87"/>
      <c r="M167" s="87"/>
      <c r="N167" s="92"/>
      <c r="O167" s="87"/>
      <c r="P167" s="93"/>
      <c r="Q167" s="93"/>
      <c r="R167" s="93"/>
      <c r="S167" s="93"/>
      <c r="T167" s="93"/>
      <c r="U167" s="93"/>
      <c r="V167" s="93"/>
      <c r="W167" s="93"/>
      <c r="X167" s="93"/>
      <c r="Y167" s="93"/>
      <c r="Z167" s="93"/>
      <c r="AA167" s="93"/>
      <c r="AB167" s="94"/>
      <c r="AC167" s="94"/>
      <c r="AD167" s="94"/>
      <c r="AE167" s="94"/>
      <c r="AF167" s="95"/>
      <c r="AG167" s="95"/>
      <c r="AH167" s="95"/>
      <c r="AI167" s="95"/>
      <c r="AJ167" s="95"/>
      <c r="AK167" s="95"/>
      <c r="AL167" s="95"/>
      <c r="AM167" s="95"/>
      <c r="AN167" s="95"/>
      <c r="AO167" s="95"/>
      <c r="AP167" s="95"/>
      <c r="AQ167" s="95"/>
      <c r="AR167" s="95"/>
      <c r="AS167" s="95"/>
      <c r="AT167" s="95"/>
      <c r="AU167" s="95"/>
      <c r="AV167" s="95"/>
      <c r="AW167" s="95"/>
      <c r="AX167" s="95"/>
      <c r="AY167" s="95"/>
      <c r="AZ167" s="95"/>
    </row>
  </sheetData>
  <sheetProtection insertRows="0" deleteRows="0" sort="0" autoFilter="0" pivotTables="0"/>
  <protectedRanges>
    <protectedRange sqref="R18:R58 M19:N58 X19:AA58 G19:J58 A19:D58" name="Eingaben"/>
  </protectedRanges>
  <phoneticPr fontId="9" type="noConversion"/>
  <conditionalFormatting sqref="F19:F58">
    <cfRule type="containsText" dxfId="193" priority="5" operator="containsText" text="okay">
      <formula>NOT(ISERROR(SEARCH("okay",F19)))</formula>
    </cfRule>
    <cfRule type="containsText" dxfId="192" priority="6" operator="containsText" text="Achtung, id wird bereits verwendet">
      <formula>NOT(ISERROR(SEARCH("Achtung, id wird bereits verwendet",F19)))</formula>
    </cfRule>
  </conditionalFormatting>
  <dataValidations count="30">
    <dataValidation allowBlank="1" showInputMessage="1" showErrorMessage="1" promptTitle="Achtung!" prompt="Kombination aus &quot;Bezeichnung Baukonstruktion&quot; + &quot;Variantennr.&quot; + &quot;Variantenname&quot; muss eindeutig sein" sqref="D128" xr:uid="{894BBE5F-6DE3-48E2-9D94-9099EC7C33B8}"/>
    <dataValidation type="decimal" allowBlank="1" showInputMessage="1" showErrorMessage="1" sqref="M19:M58" xr:uid="{0CDE1BC2-7EDA-48DA-BB5F-4F9BE5B4205A}">
      <formula1>0.00001</formula1>
      <formula2>1</formula2>
    </dataValidation>
    <dataValidation allowBlank="1" showErrorMessage="1" sqref="F19:G19 C19:C24 F22:G22 D19:D58" xr:uid="{72298A27-8C5E-4535-9093-AF278F942E67}"/>
    <dataValidation allowBlank="1" showErrorMessage="1" promptTitle="Name Baukonstruktion" prompt="Bitte benennen Sie die Baukonstruktion" sqref="B19:B58" xr:uid="{00894F7A-E80E-4868-8DED-8E55426F5880}"/>
    <dataValidation allowBlank="1" showErrorMessage="1" promptTitle="Variante Nummer" prompt="Nummerierung der Variante" sqref="C25:C58" xr:uid="{706093FA-9051-4161-A0A1-E3453A0E6EC9}"/>
    <dataValidation allowBlank="1" showInputMessage="1" showErrorMessage="1" promptTitle="Name Baukonstruktion" prompt="Bitte benennen Sie die Baukonstruktion." sqref="B18" xr:uid="{AC8EB3AA-2CC7-4C0F-BAD6-282D10537F3D}"/>
    <dataValidation allowBlank="1" showInputMessage="1" showErrorMessage="1" promptTitle="Variantennummer" prompt="Nummerierung der Variante" sqref="C18" xr:uid="{F17263BF-7710-47D2-880B-F1D5E68586F2}"/>
    <dataValidation allowBlank="1" showInputMessage="1" showErrorMessage="1" prompt="Benennung der Baukonstruktions-Variante._x000a_Die Kombinationen aus Kostengruppe, Name Baukonstruktion und Variante ist für jede Baukonstruktion eindeutig zu wählen." sqref="D18" xr:uid="{CB35E096-36DE-41C3-BE3E-D982F4D4D5A9}"/>
    <dataValidation allowBlank="1" showInputMessage="1" showErrorMessage="1" promptTitle="Prüfung id" prompt="Wenn die Namens-Kombination aus KG-Baukonstrukion-Variante bereits besteht, wird hier eine Fehlermeldung angezeigt. Sonst &quot;okay&quot;" sqref="F18" xr:uid="{393E8D90-65B0-4572-8662-402317707E0A}"/>
    <dataValidation allowBlank="1" showInputMessage="1" showErrorMessage="1" promptTitle="Schicht" prompt="Optional: Bennenung der Schicht" sqref="G18" xr:uid="{1DB90ACC-1424-4181-B56B-B282FDE83AFA}"/>
    <dataValidation allowBlank="1" showInputMessage="1" showErrorMessage="1" promptTitle="Material" prompt="Bitte wählen Sie ein Material aus der Material-Liste. Die Materialliste finden Sie in dem Reiter &quot;Materialdaten&quot;" sqref="H18" xr:uid="{CBEB89E8-8443-46C1-9269-A27E7D65FE89}"/>
    <dataValidation allowBlank="1" showInputMessage="1" showErrorMessage="1" promptTitle="Material ist Dämmstoff?" prompt="Die Variation der Dämmstoffdicke können Sie im Reiter &quot;Dashboard&quot; einstellen. Variation der Schichtdicke wird auf Zeilen angewand, für welche &quot;ja&quot; ausgewählt wurde." sqref="I18" xr:uid="{DE81CF1F-4ADB-499F-A49A-1C4B64460E50}"/>
    <dataValidation allowBlank="1" showInputMessage="1" showErrorMessage="1" promptTitle="Dicke [mm] Referenz" prompt="Bitte geben Sie die Schichtdicke in mm an. " sqref="J18" xr:uid="{52F582A8-8BB8-444C-A412-25447B350165}"/>
    <dataValidation allowBlank="1" showInputMessage="1" showErrorMessage="1" promptTitle="Flächenanteil [%]" prompt="Bei über durchgehenden Materialien geben Sie den Flächenanteil 100% ein. Bei nicht durchgehenden Materialien (bspw. Ständerwerke), geben Sie bitte den entsprechenden Flächenanteil in % an." sqref="M18" xr:uid="{B7B06DE8-861D-425C-91D2-D1DB99B25814}"/>
    <dataValidation allowBlank="1" showInputMessage="1" showErrorMessage="1" promptTitle="Länge" prompt="Beispielweise bei Stahlprofilen, Ständerwerk. Bei Eingabe der Länge bitte Feld &quot;Längengewicht [kg/m]&quot; in Spalte Y prüfen oder &quot;Längengewicht [kg/m] EIngabe&quot; Spalte AC ausfüllen." sqref="N18" xr:uid="{DBE716E1-5A85-44D6-A58E-7F7DB2A2B268}"/>
    <dataValidation allowBlank="1" showInputMessage="1" showErrorMessage="1" promptTitle="Kommentar" prompt="Hier können Sie eigene Kommentare zur eintragen." sqref="R18" xr:uid="{9CCEB2F1-52B5-4854-AD0A-16ACB08257CD}"/>
    <dataValidation allowBlank="1" showInputMessage="1" showErrorMessage="1" promptTitle="Rohdichte" prompt="Zuordnung aus Materialdaten" sqref="T18" xr:uid="{2E2781C8-7DB9-4AAD-9878-906B7A141B9F}"/>
    <dataValidation allowBlank="1" showInputMessage="1" showErrorMessage="1" promptTitle="lambda" prompt="Zuordnung aus Materialdaten" sqref="W18" xr:uid="{FD762367-2B7A-4262-8053-3E7A0A869598}"/>
    <dataValidation allowBlank="1" showInputMessage="1" showErrorMessage="1" promptTitle="Masse" prompt="Berechnung aus Dicke Referenz, Flächenanteil bzw. Länge und Eigenschaften (Rohdichte, Flächengewicht bzw. Längengewicht)" sqref="AB18" xr:uid="{C39EA621-7870-40A4-8733-60D55A88A51F}"/>
    <dataValidation allowBlank="1" showInputMessage="1" showErrorMessage="1" promptTitle="Masse max" prompt="Berechnung aus Dicke max, Flächenanteil bzw. Länge und Eigenschaften (Rohdichte, Flächengewicht bzw. Längengewicht)" sqref="AD18" xr:uid="{039EDEC5-E6A0-4E14-8926-B4734FBDC553}"/>
    <dataValidation allowBlank="1" showInputMessage="1" showErrorMessage="1" promptTitle="Flächengewicht" prompt="Zuordnung aus Materialdaten" sqref="U18" xr:uid="{18CA13D0-3959-4C56-83A2-EE05A4B03F12}"/>
    <dataValidation allowBlank="1" showInputMessage="1" showErrorMessage="1" promptTitle="Längengewicht" prompt="Zuordnung aus Materialdaten" sqref="V18" xr:uid="{335A742F-5AFA-40CB-BB00-A7B8C94AC1F8}"/>
    <dataValidation allowBlank="1" showInputMessage="1" showErrorMessage="1" promptTitle="Rohdichte Eingabe" prompt="Eigene Eingabe der Rohdichte in kg/m³ möglich" sqref="X18" xr:uid="{19176548-7438-4A5F-B65F-A6660616941A}"/>
    <dataValidation allowBlank="1" showInputMessage="1" showErrorMessage="1" promptTitle="Flächengewicht" prompt="Eigene Eingabe des Flächengewichts in kg/m³ möglich" sqref="Y18" xr:uid="{44A1A447-A477-4478-BF0D-BC61A5F73118}"/>
    <dataValidation allowBlank="1" showInputMessage="1" showErrorMessage="1" promptTitle="Längengewicht Eingabe" prompt="Eigene Eingabe des Längengewichts in kg/m³ möglich" sqref="Z18" xr:uid="{B503150F-8A37-4568-8CED-3C5FB45A8F20}"/>
    <dataValidation allowBlank="1" showInputMessage="1" showErrorMessage="1" promptTitle="lambda Eingabe" prompt="Eigene Eingabe der lambda in W/mK möglich" sqref="AA18" xr:uid="{C8E8AAA2-5D26-4921-8086-C427FF4AB358}"/>
    <dataValidation allowBlank="1" showInputMessage="1" showErrorMessage="1" prompt="Berechnung aus Dicke min, Flächenanteil bzw. Länge und Eigenschaften (Rohdichte, Flächengewicht bzw. Längengewicht)" sqref="AC18" xr:uid="{016682BD-01A1-4A4D-BF44-07A31251A0E5}"/>
    <dataValidation allowBlank="1" showInputMessage="1" showErrorMessage="1" prompt="Die Variation der Dämmstoffdicke können Sie im Reiter &quot;Dashboard&quot; einstellen. Variation der Schichtdicke wird auf Zeilen angewand, für welche &quot;ja&quot; ausgewählt wurde." sqref="K18" xr:uid="{923D0BB0-0029-4A04-9634-F324CF2872B4}"/>
    <dataValidation allowBlank="1" showInputMessage="1" showErrorMessage="1" promptTitle="Dicke max" prompt="Die Variation der Dämmstoffdicke können Sie im Reiter &quot;Dashboard&quot; einstellen. Variation der Schichtdicke wird auf Zeilen angewand, für welche &quot;ja&quot; ausgewählt wurde." sqref="L18" xr:uid="{49CB8EA3-2F7B-4A32-8FCF-6628F8135EBA}"/>
    <dataValidation allowBlank="1" showInputMessage="1" showErrorMessage="1" promptTitle="Kostengruppe" prompt="Bitten wählen Sie die Kostengruppe, für die Sie eine Baukonstruktion anlegen möchten." sqref="A18" xr:uid="{AC7CD53D-5118-4B03-96A5-9828ED394CA8}"/>
  </dataValidations>
  <pageMargins left="0.7" right="0.7" top="0.78740157499999996" bottom="0.78740157499999996" header="0.3" footer="0.3"/>
  <pageSetup paperSize="9" scale="36" orientation="landscape" r:id="rId1"/>
  <headerFooter>
    <oddHeader>&amp;CLeitRess | Bauteil-LCA&amp;R2023</oddHeader>
    <oddFooter>&amp;R12.10.2023</oddFooter>
  </headerFooter>
  <colBreaks count="2" manualBreakCount="2">
    <brk id="14" max="57" man="1"/>
    <brk id="30" max="57" man="1"/>
  </colBreaks>
  <tableParts count="1">
    <tablePart r:id="rId2"/>
  </tableParts>
  <extLst>
    <ext xmlns:x14="http://schemas.microsoft.com/office/spreadsheetml/2009/9/main" uri="{CCE6A557-97BC-4b89-ADB6-D9C93CAAB3DF}">
      <x14:dataValidations xmlns:xm="http://schemas.microsoft.com/office/excel/2006/main" count="5">
        <x14:dataValidation type="list" allowBlank="1" showInputMessage="1" showErrorMessage="1" xr:uid="{43051FA4-C279-4900-9802-96E55DA751CA}">
          <x14:formula1>
            <xm:f>Listen!$A$2:$A$8</xm:f>
          </x14:formula1>
          <xm:sqref>A19:A58</xm:sqref>
        </x14:dataValidation>
        <x14:dataValidation type="list" allowBlank="1" showInputMessage="1" showErrorMessage="1" xr:uid="{16E2D1EA-9FFD-4E4E-8F7C-759291C163DA}">
          <x14:formula1>
            <xm:f>Listen!$C$2:$C$4</xm:f>
          </x14:formula1>
          <xm:sqref>I19:I58</xm:sqref>
        </x14:dataValidation>
        <x14:dataValidation type="list" allowBlank="1" showInputMessage="1" showErrorMessage="1" xr:uid="{FB2A18A4-363D-41B3-B707-8C3C67405A94}">
          <x14:formula1>
            <xm:f>Materialdaten!$C$7:$C$48</xm:f>
          </x14:formula1>
          <xm:sqref>G128:G167</xm:sqref>
        </x14:dataValidation>
        <x14:dataValidation type="list" allowBlank="1" showInputMessage="1" showErrorMessage="1" xr:uid="{7C762683-8E1E-48C9-B391-0C25A775D0A7}">
          <x14:formula1>
            <xm:f>Materialdaten!$C$9:$C$48</xm:f>
          </x14:formula1>
          <xm:sqref>G121 G123 G116:G119 G114 G95:G98 G107 G109:G112 G101 G125:G127</xm:sqref>
        </x14:dataValidation>
        <x14:dataValidation type="list" allowBlank="1" showInputMessage="1" showErrorMessage="1" xr:uid="{83E93B83-8CF2-437A-9026-12D11D3DCC1B}">
          <x14:formula1>
            <xm:f>Materialdaten!$C$7:$C$70</xm:f>
          </x14:formula1>
          <xm:sqref>H19:H58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A77970-291F-4A18-8056-EE0DB9A4338B}">
  <sheetPr codeName="Tabelle3">
    <tabColor theme="8" tint="0.79998168889431442"/>
  </sheetPr>
  <dimension ref="A1:F67"/>
  <sheetViews>
    <sheetView view="pageLayout" topLeftCell="A11" zoomScale="55" zoomScaleNormal="70" zoomScalePageLayoutView="55" workbookViewId="0">
      <selection activeCell="F18" sqref="F18"/>
    </sheetView>
  </sheetViews>
  <sheetFormatPr baseColWidth="10" defaultColWidth="11.46484375" defaultRowHeight="14.25" x14ac:dyDescent="0.45"/>
  <cols>
    <col min="1" max="1" width="68.86328125" customWidth="1"/>
    <col min="2" max="2" width="72.86328125" customWidth="1"/>
    <col min="3" max="3" width="17.86328125" customWidth="1"/>
    <col min="4" max="4" width="28.33203125" customWidth="1"/>
    <col min="5" max="5" width="28.1328125" customWidth="1"/>
    <col min="6" max="6" width="19.1328125" customWidth="1"/>
  </cols>
  <sheetData>
    <row r="1" spans="1:6" ht="21" x14ac:dyDescent="0.45">
      <c r="A1" s="79" t="s">
        <v>245</v>
      </c>
      <c r="B1" s="79"/>
      <c r="C1" s="80"/>
      <c r="D1" s="79"/>
      <c r="E1" s="79"/>
      <c r="F1" s="79"/>
    </row>
    <row r="2" spans="1:6" ht="21" x14ac:dyDescent="0.65">
      <c r="A2" s="113"/>
      <c r="B2" s="82"/>
      <c r="C2" s="114"/>
      <c r="D2" s="82"/>
    </row>
    <row r="3" spans="1:6" ht="21" x14ac:dyDescent="0.65">
      <c r="A3" s="115" t="s">
        <v>20</v>
      </c>
      <c r="B3" s="115"/>
      <c r="C3" s="114"/>
      <c r="D3" s="115"/>
    </row>
    <row r="4" spans="1:6" ht="21" x14ac:dyDescent="0.65">
      <c r="A4" s="82" t="s">
        <v>21</v>
      </c>
      <c r="B4" s="82"/>
      <c r="C4" s="114"/>
      <c r="D4" s="116"/>
    </row>
    <row r="5" spans="1:6" ht="21" x14ac:dyDescent="0.65">
      <c r="A5" s="82"/>
      <c r="B5" s="82"/>
      <c r="C5" s="114"/>
      <c r="D5" s="116"/>
    </row>
    <row r="6" spans="1:6" ht="21" x14ac:dyDescent="0.65">
      <c r="A6" s="82"/>
      <c r="B6" s="82"/>
      <c r="C6" s="82"/>
      <c r="D6" s="82"/>
    </row>
    <row r="7" spans="1:6" ht="21" x14ac:dyDescent="0.65">
      <c r="A7" s="82" t="s">
        <v>127</v>
      </c>
      <c r="B7" s="117"/>
      <c r="C7" s="82"/>
      <c r="D7" s="82"/>
    </row>
    <row r="8" spans="1:6" ht="21" x14ac:dyDescent="0.65">
      <c r="A8" s="118"/>
      <c r="B8" s="117" t="s">
        <v>128</v>
      </c>
      <c r="C8" s="82"/>
      <c r="D8" s="117"/>
    </row>
    <row r="9" spans="1:6" ht="21" x14ac:dyDescent="0.65">
      <c r="A9" s="119"/>
      <c r="B9" s="117" t="s">
        <v>129</v>
      </c>
      <c r="C9" s="82"/>
      <c r="D9" s="117"/>
    </row>
    <row r="10" spans="1:6" ht="21" x14ac:dyDescent="0.65">
      <c r="A10" s="120"/>
      <c r="B10" s="117" t="s">
        <v>130</v>
      </c>
      <c r="C10" s="82"/>
      <c r="D10" s="117"/>
    </row>
    <row r="11" spans="1:6" ht="21" x14ac:dyDescent="0.65">
      <c r="A11" s="121"/>
      <c r="B11" s="117" t="s">
        <v>131</v>
      </c>
      <c r="C11" s="82"/>
      <c r="D11" s="82"/>
    </row>
    <row r="12" spans="1:6" ht="21" x14ac:dyDescent="0.65">
      <c r="A12" s="122" t="s">
        <v>132</v>
      </c>
      <c r="B12" s="82"/>
      <c r="C12" s="82"/>
      <c r="D12" s="82"/>
    </row>
    <row r="14" spans="1:6" ht="20.65" x14ac:dyDescent="0.45">
      <c r="A14" s="88" t="s">
        <v>246</v>
      </c>
      <c r="B14" s="88"/>
      <c r="C14" s="88"/>
      <c r="D14" s="88"/>
      <c r="E14" s="88"/>
      <c r="F14" s="88"/>
    </row>
    <row r="15" spans="1:6" ht="55.7" customHeight="1" x14ac:dyDescent="0.55000000000000004">
      <c r="A15" s="71" t="s">
        <v>29</v>
      </c>
      <c r="B15" s="71" t="s">
        <v>49</v>
      </c>
      <c r="C15" s="71" t="s">
        <v>247</v>
      </c>
      <c r="D15" s="71" t="s">
        <v>248</v>
      </c>
      <c r="E15" s="71" t="s">
        <v>249</v>
      </c>
      <c r="F15" s="71" t="s">
        <v>250</v>
      </c>
    </row>
    <row r="16" spans="1:6" ht="21" x14ac:dyDescent="0.65">
      <c r="A16" s="121" t="s">
        <v>251</v>
      </c>
      <c r="B16" s="121" t="s">
        <v>252</v>
      </c>
      <c r="C16" s="121" t="str">
        <f>IF(IFERROR(_xlfn.XLOOKUP(Tabelle8[[#This Row],[Material]],Baukon_alle_A1_A3_results[Material],Baukon_alle_A1_A3_results[Material]),"nein")="nein","nein","ja")</f>
        <v>ja</v>
      </c>
      <c r="D16" s="121" t="str">
        <f>IF(OR(Tabelle8[[#This Row],[Transportdistanz '[km'] Eingabe]]="",Tabelle8[[#This Row],[Transportdistanz '[km'] Eingabe]]=0),"50",Tabelle8[[#This Row],[Transportdistanz '[km'] Eingabe]])</f>
        <v>50</v>
      </c>
      <c r="E16" s="120"/>
      <c r="F16" s="118" t="s">
        <v>253</v>
      </c>
    </row>
    <row r="17" spans="1:6" ht="21" x14ac:dyDescent="0.65">
      <c r="A17" s="121" t="s">
        <v>251</v>
      </c>
      <c r="B17" s="121" t="s">
        <v>254</v>
      </c>
      <c r="C17" s="121" t="str">
        <f>IF(IFERROR(_xlfn.XLOOKUP(Tabelle8[[#This Row],[Material]],Baukon_alle_A1_A3_results[Material],Baukon_alle_A1_A3_results[Material]),"nein")="nein","nein","ja")</f>
        <v>ja</v>
      </c>
      <c r="D17" s="121" t="str">
        <f>IF(OR(Tabelle8[[#This Row],[Transportdistanz '[km'] Eingabe]]="",Tabelle8[[#This Row],[Transportdistanz '[km'] Eingabe]]=0),"50",Tabelle8[[#This Row],[Transportdistanz '[km'] Eingabe]])</f>
        <v>50</v>
      </c>
      <c r="E17" s="120"/>
      <c r="F17" s="118" t="s">
        <v>253</v>
      </c>
    </row>
    <row r="18" spans="1:6" ht="21" x14ac:dyDescent="0.65">
      <c r="A18" s="121" t="s">
        <v>251</v>
      </c>
      <c r="B18" s="121" t="s">
        <v>255</v>
      </c>
      <c r="C18" s="121" t="str">
        <f>IF(IFERROR(_xlfn.XLOOKUP(Tabelle8[[#This Row],[Material]],Baukon_alle_A1_A3_results[Material],Baukon_alle_A1_A3_results[Material]),"nein")="nein","nein","ja")</f>
        <v>ja</v>
      </c>
      <c r="D18" s="121" t="str">
        <f>IF(OR(Tabelle8[[#This Row],[Transportdistanz '[km'] Eingabe]]="",Tabelle8[[#This Row],[Transportdistanz '[km'] Eingabe]]=0),"50",Tabelle8[[#This Row],[Transportdistanz '[km'] Eingabe]])</f>
        <v>50</v>
      </c>
      <c r="E18" s="120"/>
      <c r="F18" s="118" t="s">
        <v>253</v>
      </c>
    </row>
    <row r="19" spans="1:6" ht="21" x14ac:dyDescent="0.65">
      <c r="A19" s="121" t="s">
        <v>251</v>
      </c>
      <c r="B19" s="121" t="s">
        <v>256</v>
      </c>
      <c r="C19" s="121" t="str">
        <f>IF(IFERROR(_xlfn.XLOOKUP(Tabelle8[[#This Row],[Material]],Baukon_alle_A1_A3_results[Material],Baukon_alle_A1_A3_results[Material]),"nein")="nein","nein","ja")</f>
        <v>ja</v>
      </c>
      <c r="D19" s="121" t="str">
        <f>IF(OR(Tabelle8[[#This Row],[Transportdistanz '[km'] Eingabe]]="",Tabelle8[[#This Row],[Transportdistanz '[km'] Eingabe]]=0),"50",Tabelle8[[#This Row],[Transportdistanz '[km'] Eingabe]])</f>
        <v>50</v>
      </c>
      <c r="E19" s="120"/>
      <c r="F19" s="118" t="s">
        <v>253</v>
      </c>
    </row>
    <row r="20" spans="1:6" ht="21" x14ac:dyDescent="0.65">
      <c r="A20" s="121" t="s">
        <v>257</v>
      </c>
      <c r="B20" s="121" t="s">
        <v>224</v>
      </c>
      <c r="C20" s="121" t="str">
        <f>IF(IFERROR(_xlfn.XLOOKUP(Tabelle8[[#This Row],[Material]],Baukon_alle_A1_A3_results[Material],Baukon_alle_A1_A3_results[Material]),"nein")="nein","nein","ja")</f>
        <v>ja</v>
      </c>
      <c r="D20" s="121" t="str">
        <f>IF(OR(Tabelle8[[#This Row],[Transportdistanz '[km'] Eingabe]]="",Tabelle8[[#This Row],[Transportdistanz '[km'] Eingabe]]=0),"50",Tabelle8[[#This Row],[Transportdistanz '[km'] Eingabe]])</f>
        <v>50</v>
      </c>
      <c r="E20" s="120"/>
      <c r="F20" s="118" t="s">
        <v>253</v>
      </c>
    </row>
    <row r="21" spans="1:6" ht="21" x14ac:dyDescent="0.65">
      <c r="A21" s="121" t="s">
        <v>257</v>
      </c>
      <c r="B21" s="121" t="s">
        <v>258</v>
      </c>
      <c r="C21" s="121" t="str">
        <f>IF(IFERROR(_xlfn.XLOOKUP(Tabelle8[[#This Row],[Material]],Baukon_alle_A1_A3_results[Material],Baukon_alle_A1_A3_results[Material]),"nein")="nein","nein","ja")</f>
        <v>ja</v>
      </c>
      <c r="D21" s="121" t="str">
        <f>IF(OR(Tabelle8[[#This Row],[Transportdistanz '[km'] Eingabe]]="",Tabelle8[[#This Row],[Transportdistanz '[km'] Eingabe]]=0),"50",Tabelle8[[#This Row],[Transportdistanz '[km'] Eingabe]])</f>
        <v>50</v>
      </c>
      <c r="E21" s="120"/>
      <c r="F21" s="118" t="s">
        <v>253</v>
      </c>
    </row>
    <row r="22" spans="1:6" ht="21" x14ac:dyDescent="0.65">
      <c r="A22" s="121" t="s">
        <v>257</v>
      </c>
      <c r="B22" s="121" t="s">
        <v>231</v>
      </c>
      <c r="C22" s="121" t="str">
        <f>IF(IFERROR(_xlfn.XLOOKUP(Tabelle8[[#This Row],[Material]],Baukon_alle_A1_A3_results[Material],Baukon_alle_A1_A3_results[Material]),"nein")="nein","nein","ja")</f>
        <v>ja</v>
      </c>
      <c r="D22" s="121">
        <f>IF(OR(Tabelle8[[#This Row],[Transportdistanz '[km'] Eingabe]]="",Tabelle8[[#This Row],[Transportdistanz '[km'] Eingabe]]=0),"50",Tabelle8[[#This Row],[Transportdistanz '[km'] Eingabe]])</f>
        <v>100</v>
      </c>
      <c r="E22" s="120">
        <v>100</v>
      </c>
      <c r="F22" s="118" t="s">
        <v>253</v>
      </c>
    </row>
    <row r="23" spans="1:6" ht="21" x14ac:dyDescent="0.65">
      <c r="A23" s="121" t="s">
        <v>257</v>
      </c>
      <c r="B23" s="121" t="s">
        <v>259</v>
      </c>
      <c r="C23" s="121" t="str">
        <f>IF(IFERROR(_xlfn.XLOOKUP(Tabelle8[[#This Row],[Material]],Baukon_alle_A1_A3_results[Material],Baukon_alle_A1_A3_results[Material]),"nein")="nein","nein","ja")</f>
        <v>nein</v>
      </c>
      <c r="D23" s="121" t="str">
        <f>IF(OR(Tabelle8[[#This Row],[Transportdistanz '[km'] Eingabe]]="",Tabelle8[[#This Row],[Transportdistanz '[km'] Eingabe]]=0),"50",Tabelle8[[#This Row],[Transportdistanz '[km'] Eingabe]])</f>
        <v>50</v>
      </c>
      <c r="E23" s="120"/>
      <c r="F23" s="118" t="s">
        <v>253</v>
      </c>
    </row>
    <row r="24" spans="1:6" ht="21" x14ac:dyDescent="0.65">
      <c r="A24" s="121" t="s">
        <v>260</v>
      </c>
      <c r="B24" s="121" t="s">
        <v>240</v>
      </c>
      <c r="C24" s="121" t="str">
        <f>IF(IFERROR(_xlfn.XLOOKUP(Tabelle8[[#This Row],[Material]],Baukon_alle_A1_A3_results[Material],Baukon_alle_A1_A3_results[Material]),"nein")="nein","nein","ja")</f>
        <v>ja</v>
      </c>
      <c r="D24" s="121" t="str">
        <f>IF(OR(Tabelle8[[#This Row],[Transportdistanz '[km'] Eingabe]]="",Tabelle8[[#This Row],[Transportdistanz '[km'] Eingabe]]=0),"50",Tabelle8[[#This Row],[Transportdistanz '[km'] Eingabe]])</f>
        <v>50</v>
      </c>
      <c r="E24" s="120"/>
      <c r="F24" s="118" t="s">
        <v>253</v>
      </c>
    </row>
    <row r="25" spans="1:6" ht="21" x14ac:dyDescent="0.65">
      <c r="A25" s="121" t="s">
        <v>260</v>
      </c>
      <c r="B25" s="121" t="s">
        <v>261</v>
      </c>
      <c r="C25" s="121" t="str">
        <f>IF(IFERROR(_xlfn.XLOOKUP(Tabelle8[[#This Row],[Material]],Baukon_alle_A1_A3_results[Material],Baukon_alle_A1_A3_results[Material]),"nein")="nein","nein","ja")</f>
        <v>ja</v>
      </c>
      <c r="D25" s="121" t="str">
        <f>IF(OR(Tabelle8[[#This Row],[Transportdistanz '[km'] Eingabe]]="",Tabelle8[[#This Row],[Transportdistanz '[km'] Eingabe]]=0),"50",Tabelle8[[#This Row],[Transportdistanz '[km'] Eingabe]])</f>
        <v>50</v>
      </c>
      <c r="E25" s="120"/>
      <c r="F25" s="118" t="s">
        <v>253</v>
      </c>
    </row>
    <row r="26" spans="1:6" ht="21" x14ac:dyDescent="0.65">
      <c r="A26" s="121" t="s">
        <v>260</v>
      </c>
      <c r="B26" s="121" t="s">
        <v>262</v>
      </c>
      <c r="C26" s="121" t="str">
        <f>IF(IFERROR(_xlfn.XLOOKUP(Tabelle8[[#This Row],[Material]],Baukon_alle_A1_A3_results[Material],Baukon_alle_A1_A3_results[Material]),"nein")="nein","nein","ja")</f>
        <v>ja</v>
      </c>
      <c r="D26" s="121" t="str">
        <f>IF(OR(Tabelle8[[#This Row],[Transportdistanz '[km'] Eingabe]]="",Tabelle8[[#This Row],[Transportdistanz '[km'] Eingabe]]=0),"50",Tabelle8[[#This Row],[Transportdistanz '[km'] Eingabe]])</f>
        <v>50</v>
      </c>
      <c r="E26" s="120"/>
      <c r="F26" s="118" t="s">
        <v>253</v>
      </c>
    </row>
    <row r="27" spans="1:6" ht="21" x14ac:dyDescent="0.65">
      <c r="A27" s="121" t="s">
        <v>263</v>
      </c>
      <c r="B27" s="121" t="s">
        <v>264</v>
      </c>
      <c r="C27" s="121" t="str">
        <f>IF(IFERROR(_xlfn.XLOOKUP(Tabelle8[[#This Row],[Material]],Baukon_alle_A1_A3_results[Material],Baukon_alle_A1_A3_results[Material]),"nein")="nein","nein","ja")</f>
        <v>ja</v>
      </c>
      <c r="D27" s="121" t="str">
        <f>IF(OR(Tabelle8[[#This Row],[Transportdistanz '[km'] Eingabe]]="",Tabelle8[[#This Row],[Transportdistanz '[km'] Eingabe]]=0),"50",Tabelle8[[#This Row],[Transportdistanz '[km'] Eingabe]])</f>
        <v>50</v>
      </c>
      <c r="E27" s="120"/>
      <c r="F27" s="118" t="s">
        <v>253</v>
      </c>
    </row>
    <row r="28" spans="1:6" ht="21" x14ac:dyDescent="0.65">
      <c r="A28" s="121" t="s">
        <v>263</v>
      </c>
      <c r="B28" s="121" t="s">
        <v>265</v>
      </c>
      <c r="C28" s="121" t="str">
        <f>IF(IFERROR(_xlfn.XLOOKUP(Tabelle8[[#This Row],[Material]],Baukon_alle_A1_A3_results[Material],Baukon_alle_A1_A3_results[Material]),"nein")="nein","nein","ja")</f>
        <v>ja</v>
      </c>
      <c r="D28" s="121" t="str">
        <f>IF(OR(Tabelle8[[#This Row],[Transportdistanz '[km'] Eingabe]]="",Tabelle8[[#This Row],[Transportdistanz '[km'] Eingabe]]=0),"50",Tabelle8[[#This Row],[Transportdistanz '[km'] Eingabe]])</f>
        <v>50</v>
      </c>
      <c r="E28" s="120"/>
      <c r="F28" s="118" t="s">
        <v>253</v>
      </c>
    </row>
    <row r="29" spans="1:6" ht="21" x14ac:dyDescent="0.65">
      <c r="A29" s="121" t="s">
        <v>263</v>
      </c>
      <c r="B29" s="121" t="s">
        <v>266</v>
      </c>
      <c r="C29" s="121" t="str">
        <f>IF(IFERROR(_xlfn.XLOOKUP(Tabelle8[[#This Row],[Material]],Baukon_alle_A1_A3_results[Material],Baukon_alle_A1_A3_results[Material]),"nein")="nein","nein","ja")</f>
        <v>ja</v>
      </c>
      <c r="D29" s="121" t="str">
        <f>IF(OR(Tabelle8[[#This Row],[Transportdistanz '[km'] Eingabe]]="",Tabelle8[[#This Row],[Transportdistanz '[km'] Eingabe]]=0),"50",Tabelle8[[#This Row],[Transportdistanz '[km'] Eingabe]])</f>
        <v>50</v>
      </c>
      <c r="E29" s="120"/>
      <c r="F29" s="118" t="s">
        <v>253</v>
      </c>
    </row>
    <row r="30" spans="1:6" ht="21" x14ac:dyDescent="0.65">
      <c r="A30" s="121" t="s">
        <v>263</v>
      </c>
      <c r="B30" s="121" t="s">
        <v>267</v>
      </c>
      <c r="C30" s="121" t="str">
        <f>IF(IFERROR(_xlfn.XLOOKUP(Tabelle8[[#This Row],[Material]],Baukon_alle_A1_A3_results[Material],Baukon_alle_A1_A3_results[Material]),"nein")="nein","nein","ja")</f>
        <v>ja</v>
      </c>
      <c r="D30" s="121" t="str">
        <f>IF(OR(Tabelle8[[#This Row],[Transportdistanz '[km'] Eingabe]]="",Tabelle8[[#This Row],[Transportdistanz '[km'] Eingabe]]=0),"50",Tabelle8[[#This Row],[Transportdistanz '[km'] Eingabe]])</f>
        <v>50</v>
      </c>
      <c r="E30" s="120"/>
      <c r="F30" s="118" t="s">
        <v>253</v>
      </c>
    </row>
    <row r="31" spans="1:6" ht="21" x14ac:dyDescent="0.65">
      <c r="A31" s="121" t="s">
        <v>268</v>
      </c>
      <c r="B31" s="121" t="s">
        <v>269</v>
      </c>
      <c r="C31" s="121" t="str">
        <f>IF(IFERROR(_xlfn.XLOOKUP(Tabelle8[[#This Row],[Material]],Baukon_alle_A1_A3_results[Material],Baukon_alle_A1_A3_results[Material]),"nein")="nein","nein","ja")</f>
        <v>ja</v>
      </c>
      <c r="D31" s="121" t="str">
        <f>IF(OR(Tabelle8[[#This Row],[Transportdistanz '[km'] Eingabe]]="",Tabelle8[[#This Row],[Transportdistanz '[km'] Eingabe]]=0),"50",Tabelle8[[#This Row],[Transportdistanz '[km'] Eingabe]])</f>
        <v>50</v>
      </c>
      <c r="E31" s="120"/>
      <c r="F31" s="118" t="s">
        <v>253</v>
      </c>
    </row>
    <row r="32" spans="1:6" ht="21" x14ac:dyDescent="0.65">
      <c r="A32" s="121" t="s">
        <v>268</v>
      </c>
      <c r="B32" s="121" t="s">
        <v>270</v>
      </c>
      <c r="C32" s="121" t="str">
        <f>IF(IFERROR(_xlfn.XLOOKUP(Tabelle8[[#This Row],[Material]],Baukon_alle_A1_A3_results[Material],Baukon_alle_A1_A3_results[Material]),"nein")="nein","nein","ja")</f>
        <v>ja</v>
      </c>
      <c r="D32" s="121" t="str">
        <f>IF(OR(Tabelle8[[#This Row],[Transportdistanz '[km'] Eingabe]]="",Tabelle8[[#This Row],[Transportdistanz '[km'] Eingabe]]=0),"50",Tabelle8[[#This Row],[Transportdistanz '[km'] Eingabe]])</f>
        <v>50</v>
      </c>
      <c r="E32" s="120"/>
      <c r="F32" s="118" t="s">
        <v>253</v>
      </c>
    </row>
    <row r="33" spans="1:6" ht="21" x14ac:dyDescent="0.65">
      <c r="A33" s="121" t="s">
        <v>268</v>
      </c>
      <c r="B33" s="121" t="s">
        <v>271</v>
      </c>
      <c r="C33" s="121" t="str">
        <f>IF(IFERROR(_xlfn.XLOOKUP(Tabelle8[[#This Row],[Material]],Baukon_alle_A1_A3_results[Material],Baukon_alle_A1_A3_results[Material]),"nein")="nein","nein","ja")</f>
        <v>ja</v>
      </c>
      <c r="D33" s="121" t="str">
        <f>IF(OR(Tabelle8[[#This Row],[Transportdistanz '[km'] Eingabe]]="",Tabelle8[[#This Row],[Transportdistanz '[km'] Eingabe]]=0),"50",Tabelle8[[#This Row],[Transportdistanz '[km'] Eingabe]])</f>
        <v>50</v>
      </c>
      <c r="E33" s="120"/>
      <c r="F33" s="118" t="s">
        <v>253</v>
      </c>
    </row>
    <row r="34" spans="1:6" ht="21" x14ac:dyDescent="0.65">
      <c r="A34" s="121" t="s">
        <v>268</v>
      </c>
      <c r="B34" s="121" t="s">
        <v>272</v>
      </c>
      <c r="C34" s="121" t="str">
        <f>IF(IFERROR(_xlfn.XLOOKUP(Tabelle8[[#This Row],[Material]],Baukon_alle_A1_A3_results[Material],Baukon_alle_A1_A3_results[Material]),"nein")="nein","nein","ja")</f>
        <v>ja</v>
      </c>
      <c r="D34" s="121" t="str">
        <f>IF(OR(Tabelle8[[#This Row],[Transportdistanz '[km'] Eingabe]]="",Tabelle8[[#This Row],[Transportdistanz '[km'] Eingabe]]=0),"50",Tabelle8[[#This Row],[Transportdistanz '[km'] Eingabe]])</f>
        <v>50</v>
      </c>
      <c r="E34" s="120"/>
      <c r="F34" s="118" t="s">
        <v>253</v>
      </c>
    </row>
    <row r="35" spans="1:6" ht="21" x14ac:dyDescent="0.65">
      <c r="A35" s="121" t="s">
        <v>268</v>
      </c>
      <c r="B35" s="121" t="s">
        <v>227</v>
      </c>
      <c r="C35" s="121" t="str">
        <f>IF(IFERROR(_xlfn.XLOOKUP(Tabelle8[[#This Row],[Material]],Baukon_alle_A1_A3_results[Material],Baukon_alle_A1_A3_results[Material]),"nein")="nein","nein","ja")</f>
        <v>ja</v>
      </c>
      <c r="D35" s="121" t="str">
        <f>IF(OR(Tabelle8[[#This Row],[Transportdistanz '[km'] Eingabe]]="",Tabelle8[[#This Row],[Transportdistanz '[km'] Eingabe]]=0),"50",Tabelle8[[#This Row],[Transportdistanz '[km'] Eingabe]])</f>
        <v>50</v>
      </c>
      <c r="E35" s="120"/>
      <c r="F35" s="118" t="s">
        <v>253</v>
      </c>
    </row>
    <row r="36" spans="1:6" ht="21" x14ac:dyDescent="0.65">
      <c r="A36" s="121" t="s">
        <v>268</v>
      </c>
      <c r="B36" s="121" t="s">
        <v>273</v>
      </c>
      <c r="C36" s="121" t="str">
        <f>IF(IFERROR(_xlfn.XLOOKUP(Tabelle8[[#This Row],[Material]],Baukon_alle_A1_A3_results[Material],Baukon_alle_A1_A3_results[Material]),"nein")="nein","nein","ja")</f>
        <v>ja</v>
      </c>
      <c r="D36" s="121" t="str">
        <f>IF(OR(Tabelle8[[#This Row],[Transportdistanz '[km'] Eingabe]]="",Tabelle8[[#This Row],[Transportdistanz '[km'] Eingabe]]=0),"50",Tabelle8[[#This Row],[Transportdistanz '[km'] Eingabe]])</f>
        <v>50</v>
      </c>
      <c r="E36" s="120"/>
      <c r="F36" s="118" t="s">
        <v>253</v>
      </c>
    </row>
    <row r="37" spans="1:6" ht="21" x14ac:dyDescent="0.65">
      <c r="A37" s="121" t="s">
        <v>268</v>
      </c>
      <c r="B37" s="121" t="s">
        <v>274</v>
      </c>
      <c r="C37" s="121" t="str">
        <f>IF(IFERROR(_xlfn.XLOOKUP(Tabelle8[[#This Row],[Material]],Baukon_alle_A1_A3_results[Material],Baukon_alle_A1_A3_results[Material]),"nein")="nein","nein","ja")</f>
        <v>nein</v>
      </c>
      <c r="D37" s="121" t="str">
        <f>IF(OR(Tabelle8[[#This Row],[Transportdistanz '[km'] Eingabe]]="",Tabelle8[[#This Row],[Transportdistanz '[km'] Eingabe]]=0),"50",Tabelle8[[#This Row],[Transportdistanz '[km'] Eingabe]])</f>
        <v>50</v>
      </c>
      <c r="E37" s="120"/>
      <c r="F37" s="118" t="s">
        <v>253</v>
      </c>
    </row>
    <row r="38" spans="1:6" ht="21" x14ac:dyDescent="0.65">
      <c r="A38" s="121" t="s">
        <v>268</v>
      </c>
      <c r="B38" s="121" t="s">
        <v>275</v>
      </c>
      <c r="C38" s="121" t="str">
        <f>IF(IFERROR(_xlfn.XLOOKUP(Tabelle8[[#This Row],[Material]],Baukon_alle_A1_A3_results[Material],Baukon_alle_A1_A3_results[Material]),"nein")="nein","nein","ja")</f>
        <v>ja</v>
      </c>
      <c r="D38" s="121" t="str">
        <f>IF(OR(Tabelle8[[#This Row],[Transportdistanz '[km'] Eingabe]]="",Tabelle8[[#This Row],[Transportdistanz '[km'] Eingabe]]=0),"50",Tabelle8[[#This Row],[Transportdistanz '[km'] Eingabe]])</f>
        <v>50</v>
      </c>
      <c r="E38" s="120"/>
      <c r="F38" s="118" t="s">
        <v>253</v>
      </c>
    </row>
    <row r="39" spans="1:6" ht="21" x14ac:dyDescent="0.65">
      <c r="A39" s="121" t="s">
        <v>268</v>
      </c>
      <c r="B39" s="121" t="s">
        <v>276</v>
      </c>
      <c r="C39" s="121" t="str">
        <f>IF(IFERROR(_xlfn.XLOOKUP(Tabelle8[[#This Row],[Material]],Baukon_alle_A1_A3_results[Material],Baukon_alle_A1_A3_results[Material]),"nein")="nein","nein","ja")</f>
        <v>ja</v>
      </c>
      <c r="D39" s="121" t="str">
        <f>IF(OR(Tabelle8[[#This Row],[Transportdistanz '[km'] Eingabe]]="",Tabelle8[[#This Row],[Transportdistanz '[km'] Eingabe]]=0),"50",Tabelle8[[#This Row],[Transportdistanz '[km'] Eingabe]])</f>
        <v>50</v>
      </c>
      <c r="E39" s="120"/>
      <c r="F39" s="118" t="s">
        <v>253</v>
      </c>
    </row>
    <row r="40" spans="1:6" ht="21" x14ac:dyDescent="0.65">
      <c r="A40" s="121" t="s">
        <v>277</v>
      </c>
      <c r="B40" s="121" t="s">
        <v>243</v>
      </c>
      <c r="C40" s="121" t="str">
        <f>IF(IFERROR(_xlfn.XLOOKUP(Tabelle8[[#This Row],[Material]],Baukon_alle_A1_A3_results[Material],Baukon_alle_A1_A3_results[Material]),"nein")="nein","nein","ja")</f>
        <v>ja</v>
      </c>
      <c r="D40" s="121" t="str">
        <f>IF(OR(Tabelle8[[#This Row],[Transportdistanz '[km'] Eingabe]]="",Tabelle8[[#This Row],[Transportdistanz '[km'] Eingabe]]=0),"50",Tabelle8[[#This Row],[Transportdistanz '[km'] Eingabe]])</f>
        <v>50</v>
      </c>
      <c r="E40" s="120"/>
      <c r="F40" s="118" t="s">
        <v>253</v>
      </c>
    </row>
    <row r="41" spans="1:6" ht="21" x14ac:dyDescent="0.65">
      <c r="A41" s="121" t="s">
        <v>278</v>
      </c>
      <c r="B41" s="121" t="s">
        <v>279</v>
      </c>
      <c r="C41" s="121" t="str">
        <f>IF(IFERROR(_xlfn.XLOOKUP(Tabelle8[[#This Row],[Material]],Baukon_alle_A1_A3_results[Material],Baukon_alle_A1_A3_results[Material]),"nein")="nein","nein","ja")</f>
        <v>ja</v>
      </c>
      <c r="D41" s="121" t="str">
        <f>IF(OR(Tabelle8[[#This Row],[Transportdistanz '[km'] Eingabe]]="",Tabelle8[[#This Row],[Transportdistanz '[km'] Eingabe]]=0),"50",Tabelle8[[#This Row],[Transportdistanz '[km'] Eingabe]])</f>
        <v>50</v>
      </c>
      <c r="E41" s="120"/>
      <c r="F41" s="118" t="s">
        <v>253</v>
      </c>
    </row>
    <row r="42" spans="1:6" ht="21" x14ac:dyDescent="0.65">
      <c r="A42" s="121" t="s">
        <v>278</v>
      </c>
      <c r="B42" s="121" t="s">
        <v>280</v>
      </c>
      <c r="C42" s="121" t="str">
        <f>IF(IFERROR(_xlfn.XLOOKUP(Tabelle8[[#This Row],[Material]],Baukon_alle_A1_A3_results[Material],Baukon_alle_A1_A3_results[Material]),"nein")="nein","nein","ja")</f>
        <v>ja</v>
      </c>
      <c r="D42" s="121" t="str">
        <f>IF(OR(Tabelle8[[#This Row],[Transportdistanz '[km'] Eingabe]]="",Tabelle8[[#This Row],[Transportdistanz '[km'] Eingabe]]=0),"50",Tabelle8[[#This Row],[Transportdistanz '[km'] Eingabe]])</f>
        <v>50</v>
      </c>
      <c r="E42" s="120"/>
      <c r="F42" s="118" t="s">
        <v>253</v>
      </c>
    </row>
    <row r="43" spans="1:6" ht="21" x14ac:dyDescent="0.65">
      <c r="A43" s="121" t="s">
        <v>278</v>
      </c>
      <c r="B43" s="121" t="s">
        <v>281</v>
      </c>
      <c r="C43" s="121" t="str">
        <f>IF(IFERROR(_xlfn.XLOOKUP(Tabelle8[[#This Row],[Material]],Baukon_alle_A1_A3_results[Material],Baukon_alle_A1_A3_results[Material]),"nein")="nein","nein","ja")</f>
        <v>ja</v>
      </c>
      <c r="D43" s="121" t="str">
        <f>IF(OR(Tabelle8[[#This Row],[Transportdistanz '[km'] Eingabe]]="",Tabelle8[[#This Row],[Transportdistanz '[km'] Eingabe]]=0),"50",Tabelle8[[#This Row],[Transportdistanz '[km'] Eingabe]])</f>
        <v>50</v>
      </c>
      <c r="E43" s="120"/>
      <c r="F43" s="118" t="s">
        <v>253</v>
      </c>
    </row>
    <row r="44" spans="1:6" ht="21" x14ac:dyDescent="0.65">
      <c r="A44" s="121" t="s">
        <v>278</v>
      </c>
      <c r="B44" s="121" t="s">
        <v>282</v>
      </c>
      <c r="C44" s="121" t="str">
        <f>IF(IFERROR(_xlfn.XLOOKUP(Tabelle8[[#This Row],[Material]],Baukon_alle_A1_A3_results[Material],Baukon_alle_A1_A3_results[Material]),"nein")="nein","nein","ja")</f>
        <v>ja</v>
      </c>
      <c r="D44" s="121" t="str">
        <f>IF(OR(Tabelle8[[#This Row],[Transportdistanz '[km'] Eingabe]]="",Tabelle8[[#This Row],[Transportdistanz '[km'] Eingabe]]=0),"50",Tabelle8[[#This Row],[Transportdistanz '[km'] Eingabe]])</f>
        <v>50</v>
      </c>
      <c r="E44" s="120"/>
      <c r="F44" s="118" t="s">
        <v>253</v>
      </c>
    </row>
    <row r="45" spans="1:6" ht="21" x14ac:dyDescent="0.65">
      <c r="A45" s="121" t="s">
        <v>278</v>
      </c>
      <c r="B45" s="121" t="s">
        <v>283</v>
      </c>
      <c r="C45" s="121" t="str">
        <f>IF(IFERROR(_xlfn.XLOOKUP(Tabelle8[[#This Row],[Material]],Baukon_alle_A1_A3_results[Material],Baukon_alle_A1_A3_results[Material]),"nein")="nein","nein","ja")</f>
        <v>ja</v>
      </c>
      <c r="D45" s="121" t="str">
        <f>IF(OR(Tabelle8[[#This Row],[Transportdistanz '[km'] Eingabe]]="",Tabelle8[[#This Row],[Transportdistanz '[km'] Eingabe]]=0),"50",Tabelle8[[#This Row],[Transportdistanz '[km'] Eingabe]])</f>
        <v>50</v>
      </c>
      <c r="E45" s="120"/>
      <c r="F45" s="118" t="s">
        <v>253</v>
      </c>
    </row>
    <row r="46" spans="1:6" ht="21" x14ac:dyDescent="0.65">
      <c r="A46" s="121" t="s">
        <v>278</v>
      </c>
      <c r="B46" s="121" t="s">
        <v>284</v>
      </c>
      <c r="C46" s="121" t="str">
        <f>IF(IFERROR(_xlfn.XLOOKUP(Tabelle8[[#This Row],[Material]],Baukon_alle_A1_A3_results[Material],Baukon_alle_A1_A3_results[Material]),"nein")="nein","nein","ja")</f>
        <v>ja</v>
      </c>
      <c r="D46" s="121" t="str">
        <f>IF(OR(Tabelle8[[#This Row],[Transportdistanz '[km'] Eingabe]]="",Tabelle8[[#This Row],[Transportdistanz '[km'] Eingabe]]=0),"50",Tabelle8[[#This Row],[Transportdistanz '[km'] Eingabe]])</f>
        <v>50</v>
      </c>
      <c r="E46" s="120"/>
      <c r="F46" s="118" t="s">
        <v>253</v>
      </c>
    </row>
    <row r="47" spans="1:6" ht="21" x14ac:dyDescent="0.65">
      <c r="A47" s="121" t="s">
        <v>285</v>
      </c>
      <c r="B47" s="121" t="s">
        <v>229</v>
      </c>
      <c r="C47" s="121" t="str">
        <f>IF(IFERROR(_xlfn.XLOOKUP(Tabelle8[[#This Row],[Material]],Baukon_alle_A1_A3_results[Material],Baukon_alle_A1_A3_results[Material]),"nein")="nein","nein","ja")</f>
        <v>ja</v>
      </c>
      <c r="D47" s="121" t="str">
        <f>IF(OR(Tabelle8[[#This Row],[Transportdistanz '[km'] Eingabe]]="",Tabelle8[[#This Row],[Transportdistanz '[km'] Eingabe]]=0),"50",Tabelle8[[#This Row],[Transportdistanz '[km'] Eingabe]])</f>
        <v>50</v>
      </c>
      <c r="E47" s="120"/>
      <c r="F47" s="118" t="s">
        <v>253</v>
      </c>
    </row>
    <row r="48" spans="1:6" ht="21" x14ac:dyDescent="0.65">
      <c r="A48" s="121" t="s">
        <v>285</v>
      </c>
      <c r="B48" s="121" t="s">
        <v>286</v>
      </c>
      <c r="C48" s="121" t="str">
        <f>IF(IFERROR(_xlfn.XLOOKUP(Tabelle8[[#This Row],[Material]],Baukon_alle_A1_A3_results[Material],Baukon_alle_A1_A3_results[Material]),"nein")="nein","nein","ja")</f>
        <v>nein</v>
      </c>
      <c r="D48" s="121" t="str">
        <f>IF(OR(Tabelle8[[#This Row],[Transportdistanz '[km'] Eingabe]]="",Tabelle8[[#This Row],[Transportdistanz '[km'] Eingabe]]=0),"50",Tabelle8[[#This Row],[Transportdistanz '[km'] Eingabe]])</f>
        <v>50</v>
      </c>
      <c r="E48" s="120"/>
      <c r="F48" s="118" t="s">
        <v>253</v>
      </c>
    </row>
    <row r="49" spans="1:6" ht="21" x14ac:dyDescent="0.65">
      <c r="A49" s="121" t="s">
        <v>285</v>
      </c>
      <c r="B49" s="121" t="s">
        <v>287</v>
      </c>
      <c r="C49" s="121" t="str">
        <f>IF(IFERROR(_xlfn.XLOOKUP(Tabelle8[[#This Row],[Material]],Baukon_alle_A1_A3_results[Material],Baukon_alle_A1_A3_results[Material]),"nein")="nein","nein","ja")</f>
        <v>ja</v>
      </c>
      <c r="D49" s="121" t="str">
        <f>IF(OR(Tabelle8[[#This Row],[Transportdistanz '[km'] Eingabe]]="",Tabelle8[[#This Row],[Transportdistanz '[km'] Eingabe]]=0),"50",Tabelle8[[#This Row],[Transportdistanz '[km'] Eingabe]])</f>
        <v>50</v>
      </c>
      <c r="E49" s="120"/>
      <c r="F49" s="118" t="s">
        <v>253</v>
      </c>
    </row>
    <row r="50" spans="1:6" ht="21" x14ac:dyDescent="0.65">
      <c r="A50" s="121" t="s">
        <v>285</v>
      </c>
      <c r="B50" s="121" t="s">
        <v>288</v>
      </c>
      <c r="C50" s="121" t="str">
        <f>IF(IFERROR(_xlfn.XLOOKUP(Tabelle8[[#This Row],[Material]],Baukon_alle_A1_A3_results[Material],Baukon_alle_A1_A3_results[Material]),"nein")="nein","nein","ja")</f>
        <v>nein</v>
      </c>
      <c r="D50" s="121" t="str">
        <f>IF(OR(Tabelle8[[#This Row],[Transportdistanz '[km'] Eingabe]]="",Tabelle8[[#This Row],[Transportdistanz '[km'] Eingabe]]=0),"50",Tabelle8[[#This Row],[Transportdistanz '[km'] Eingabe]])</f>
        <v>50</v>
      </c>
      <c r="E50" s="120"/>
      <c r="F50" s="118" t="s">
        <v>253</v>
      </c>
    </row>
    <row r="51" spans="1:6" ht="21" x14ac:dyDescent="0.65">
      <c r="A51" s="121" t="s">
        <v>285</v>
      </c>
      <c r="B51" s="121" t="s">
        <v>289</v>
      </c>
      <c r="C51" s="121" t="str">
        <f>IF(IFERROR(_xlfn.XLOOKUP(Tabelle8[[#This Row],[Material]],Baukon_alle_A1_A3_results[Material],Baukon_alle_A1_A3_results[Material]),"nein")="nein","nein","ja")</f>
        <v>nein</v>
      </c>
      <c r="D51" s="121" t="str">
        <f>IF(OR(Tabelle8[[#This Row],[Transportdistanz '[km'] Eingabe]]="",Tabelle8[[#This Row],[Transportdistanz '[km'] Eingabe]]=0),"50",Tabelle8[[#This Row],[Transportdistanz '[km'] Eingabe]])</f>
        <v>50</v>
      </c>
      <c r="E51" s="120"/>
      <c r="F51" s="118" t="s">
        <v>253</v>
      </c>
    </row>
    <row r="52" spans="1:6" ht="21" x14ac:dyDescent="0.65">
      <c r="A52" s="121" t="s">
        <v>285</v>
      </c>
      <c r="B52" s="121" t="s">
        <v>290</v>
      </c>
      <c r="C52" s="121" t="str">
        <f>IF(IFERROR(_xlfn.XLOOKUP(Tabelle8[[#This Row],[Material]],Baukon_alle_A1_A3_results[Material],Baukon_alle_A1_A3_results[Material]),"nein")="nein","nein","ja")</f>
        <v>ja</v>
      </c>
      <c r="D52" s="121" t="str">
        <f>IF(OR(Tabelle8[[#This Row],[Transportdistanz '[km'] Eingabe]]="",Tabelle8[[#This Row],[Transportdistanz '[km'] Eingabe]]=0),"50",Tabelle8[[#This Row],[Transportdistanz '[km'] Eingabe]])</f>
        <v>50</v>
      </c>
      <c r="E52" s="120"/>
      <c r="F52" s="118" t="s">
        <v>253</v>
      </c>
    </row>
    <row r="53" spans="1:6" ht="21" x14ac:dyDescent="0.65">
      <c r="A53" s="121" t="s">
        <v>285</v>
      </c>
      <c r="B53" s="121" t="s">
        <v>291</v>
      </c>
      <c r="C53" s="121" t="str">
        <f>IF(IFERROR(_xlfn.XLOOKUP(Tabelle8[[#This Row],[Material]],Baukon_alle_A1_A3_results[Material],Baukon_alle_A1_A3_results[Material]),"nein")="nein","nein","ja")</f>
        <v>nein</v>
      </c>
      <c r="D53" s="121" t="str">
        <f>IF(OR(Tabelle8[[#This Row],[Transportdistanz '[km'] Eingabe]]="",Tabelle8[[#This Row],[Transportdistanz '[km'] Eingabe]]=0),"50",Tabelle8[[#This Row],[Transportdistanz '[km'] Eingabe]])</f>
        <v>50</v>
      </c>
      <c r="E53" s="120"/>
      <c r="F53" s="118" t="s">
        <v>253</v>
      </c>
    </row>
    <row r="54" spans="1:6" ht="21" x14ac:dyDescent="0.65">
      <c r="A54" s="121" t="s">
        <v>285</v>
      </c>
      <c r="B54" s="121" t="s">
        <v>292</v>
      </c>
      <c r="C54" s="121" t="str">
        <f>IF(IFERROR(_xlfn.XLOOKUP(Tabelle8[[#This Row],[Material]],Baukon_alle_A1_A3_results[Material],Baukon_alle_A1_A3_results[Material]),"nein")="nein","nein","ja")</f>
        <v>ja</v>
      </c>
      <c r="D54" s="121" t="str">
        <f>IF(OR(Tabelle8[[#This Row],[Transportdistanz '[km'] Eingabe]]="",Tabelle8[[#This Row],[Transportdistanz '[km'] Eingabe]]=0),"50",Tabelle8[[#This Row],[Transportdistanz '[km'] Eingabe]])</f>
        <v>50</v>
      </c>
      <c r="E54" s="120"/>
      <c r="F54" s="118" t="s">
        <v>253</v>
      </c>
    </row>
    <row r="55" spans="1:6" ht="21" x14ac:dyDescent="0.65">
      <c r="A55" s="121" t="s">
        <v>293</v>
      </c>
      <c r="B55" s="121" t="s">
        <v>294</v>
      </c>
      <c r="C55" s="121" t="str">
        <f>IF(IFERROR(_xlfn.XLOOKUP(Tabelle8[[#This Row],[Material]],Baukon_alle_A1_A3_results[Material],Baukon_alle_A1_A3_results[Material]),"nein")="nein","nein","ja")</f>
        <v>ja</v>
      </c>
      <c r="D55" s="121" t="str">
        <f>IF(OR(Tabelle8[[#This Row],[Transportdistanz '[km'] Eingabe]]="",Tabelle8[[#This Row],[Transportdistanz '[km'] Eingabe]]=0),"50",Tabelle8[[#This Row],[Transportdistanz '[km'] Eingabe]])</f>
        <v>50</v>
      </c>
      <c r="E55" s="120"/>
      <c r="F55" s="118" t="s">
        <v>253</v>
      </c>
    </row>
    <row r="56" spans="1:6" ht="21" x14ac:dyDescent="0.65">
      <c r="A56" s="121" t="s">
        <v>293</v>
      </c>
      <c r="B56" s="121" t="s">
        <v>295</v>
      </c>
      <c r="C56" s="121" t="str">
        <f>IF(IFERROR(_xlfn.XLOOKUP(Tabelle8[[#This Row],[Material]],Baukon_alle_A1_A3_results[Material],Baukon_alle_A1_A3_results[Material]),"nein")="nein","nein","ja")</f>
        <v>nein</v>
      </c>
      <c r="D56" s="121" t="str">
        <f>IF(OR(Tabelle8[[#This Row],[Transportdistanz '[km'] Eingabe]]="",Tabelle8[[#This Row],[Transportdistanz '[km'] Eingabe]]=0),"50",Tabelle8[[#This Row],[Transportdistanz '[km'] Eingabe]])</f>
        <v>50</v>
      </c>
      <c r="E56" s="120"/>
      <c r="F56" s="118" t="s">
        <v>253</v>
      </c>
    </row>
    <row r="57" spans="1:6" ht="21" x14ac:dyDescent="0.65">
      <c r="A57" s="121" t="s">
        <v>293</v>
      </c>
      <c r="B57" s="121" t="s">
        <v>296</v>
      </c>
      <c r="C57" s="121" t="str">
        <f>IF(IFERROR(_xlfn.XLOOKUP(Tabelle8[[#This Row],[Material]],Baukon_alle_A1_A3_results[Material],Baukon_alle_A1_A3_results[Material]),"nein")="nein","nein","ja")</f>
        <v>nein</v>
      </c>
      <c r="D57" s="121" t="str">
        <f>IF(OR(Tabelle8[[#This Row],[Transportdistanz '[km'] Eingabe]]="",Tabelle8[[#This Row],[Transportdistanz '[km'] Eingabe]]=0),"50",Tabelle8[[#This Row],[Transportdistanz '[km'] Eingabe]])</f>
        <v>50</v>
      </c>
      <c r="E57" s="120"/>
      <c r="F57" s="118" t="s">
        <v>253</v>
      </c>
    </row>
    <row r="58" spans="1:6" ht="21" x14ac:dyDescent="0.65">
      <c r="A58" s="121" t="s">
        <v>293</v>
      </c>
      <c r="B58" s="121" t="s">
        <v>297</v>
      </c>
      <c r="C58" s="121" t="str">
        <f>IF(IFERROR(_xlfn.XLOOKUP(Tabelle8[[#This Row],[Material]],Baukon_alle_A1_A3_results[Material],Baukon_alle_A1_A3_results[Material]),"nein")="nein","nein","ja")</f>
        <v>nein</v>
      </c>
      <c r="D58" s="121" t="str">
        <f>IF(OR(Tabelle8[[#This Row],[Transportdistanz '[km'] Eingabe]]="",Tabelle8[[#This Row],[Transportdistanz '[km'] Eingabe]]=0),"50",Tabelle8[[#This Row],[Transportdistanz '[km'] Eingabe]])</f>
        <v>50</v>
      </c>
      <c r="E58" s="120"/>
      <c r="F58" s="118" t="s">
        <v>253</v>
      </c>
    </row>
    <row r="59" spans="1:6" ht="21" x14ac:dyDescent="0.65">
      <c r="A59" s="121" t="s">
        <v>293</v>
      </c>
      <c r="B59" s="121" t="s">
        <v>298</v>
      </c>
      <c r="C59" s="121" t="str">
        <f>IF(IFERROR(_xlfn.XLOOKUP(Tabelle8[[#This Row],[Material]],Baukon_alle_A1_A3_results[Material],Baukon_alle_A1_A3_results[Material]),"nein")="nein","nein","ja")</f>
        <v>nein</v>
      </c>
      <c r="D59" s="121" t="str">
        <f>IF(OR(Tabelle8[[#This Row],[Transportdistanz '[km'] Eingabe]]="",Tabelle8[[#This Row],[Transportdistanz '[km'] Eingabe]]=0),"50",Tabelle8[[#This Row],[Transportdistanz '[km'] Eingabe]])</f>
        <v>50</v>
      </c>
      <c r="E59" s="120"/>
      <c r="F59" s="118" t="s">
        <v>253</v>
      </c>
    </row>
    <row r="60" spans="1:6" ht="21" x14ac:dyDescent="0.65">
      <c r="A60" s="121" t="s">
        <v>285</v>
      </c>
      <c r="B60" s="121" t="s">
        <v>234</v>
      </c>
      <c r="C60" s="121" t="str">
        <f>IF(IFERROR(_xlfn.XLOOKUP(Tabelle8[[#This Row],[Material]],Baukon_alle_A1_A3_results[Material],Baukon_alle_A1_A3_results[Material]),"nein")="nein","nein","ja")</f>
        <v>ja</v>
      </c>
      <c r="D60" s="121" t="str">
        <f>IF(OR(Tabelle8[[#This Row],[Transportdistanz '[km'] Eingabe]]="",Tabelle8[[#This Row],[Transportdistanz '[km'] Eingabe]]=0),"50",Tabelle8[[#This Row],[Transportdistanz '[km'] Eingabe]])</f>
        <v>50</v>
      </c>
      <c r="E60" s="120"/>
      <c r="F60" s="118" t="s">
        <v>253</v>
      </c>
    </row>
    <row r="61" spans="1:6" ht="21" x14ac:dyDescent="0.65">
      <c r="A61" s="121" t="s">
        <v>285</v>
      </c>
      <c r="B61" s="121" t="s">
        <v>236</v>
      </c>
      <c r="C61" s="121" t="str">
        <f>IF(IFERROR(_xlfn.XLOOKUP(Tabelle8[[#This Row],[Material]],Baukon_alle_A1_A3_results[Material],Baukon_alle_A1_A3_results[Material]),"nein")="nein","nein","ja")</f>
        <v>ja</v>
      </c>
      <c r="D61" s="121">
        <f>IF(OR(Tabelle8[[#This Row],[Transportdistanz '[km'] Eingabe]]="",Tabelle8[[#This Row],[Transportdistanz '[km'] Eingabe]]=0),"50",Tabelle8[[#This Row],[Transportdistanz '[km'] Eingabe]])</f>
        <v>200</v>
      </c>
      <c r="E61" s="120">
        <v>200</v>
      </c>
      <c r="F61" s="118" t="s">
        <v>253</v>
      </c>
    </row>
    <row r="62" spans="1:6" ht="21" x14ac:dyDescent="0.65">
      <c r="A62" s="121"/>
      <c r="B62" s="121"/>
      <c r="C62" s="121" t="str">
        <f>IF(IFERROR(_xlfn.XLOOKUP(Tabelle8[[#This Row],[Material]],Baukon_alle_A1_A3_results[Material],Baukon_alle_A1_A3_results[Material]),"nein")="nein","nein","ja")</f>
        <v>nein</v>
      </c>
      <c r="D62" s="121" t="str">
        <f>IF(OR(Tabelle8[[#This Row],[Transportdistanz '[km'] Eingabe]]="",Tabelle8[[#This Row],[Transportdistanz '[km'] Eingabe]]=0),"50",Tabelle8[[#This Row],[Transportdistanz '[km'] Eingabe]])</f>
        <v>50</v>
      </c>
      <c r="E62" s="120"/>
      <c r="F62" s="118"/>
    </row>
    <row r="63" spans="1:6" ht="21" x14ac:dyDescent="0.65">
      <c r="A63" s="121"/>
      <c r="B63" s="121"/>
      <c r="C63" s="121" t="str">
        <f>IF(IFERROR(_xlfn.XLOOKUP(Tabelle8[[#This Row],[Material]],Baukon_alle_A1_A3_results[Material],Baukon_alle_A1_A3_results[Material]),"nein")="nein","nein","ja")</f>
        <v>nein</v>
      </c>
      <c r="D63" s="121" t="str">
        <f>IF(OR(Tabelle8[[#This Row],[Transportdistanz '[km'] Eingabe]]="",Tabelle8[[#This Row],[Transportdistanz '[km'] Eingabe]]=0),"50",Tabelle8[[#This Row],[Transportdistanz '[km'] Eingabe]])</f>
        <v>50</v>
      </c>
      <c r="E63" s="120"/>
      <c r="F63" s="118"/>
    </row>
    <row r="64" spans="1:6" ht="21" x14ac:dyDescent="0.65">
      <c r="A64" s="121"/>
      <c r="B64" s="121"/>
      <c r="C64" s="121" t="str">
        <f>IF(IFERROR(_xlfn.XLOOKUP(Tabelle8[[#This Row],[Material]],Baukon_alle_A1_A3_results[Material],Baukon_alle_A1_A3_results[Material]),"nein")="nein","nein","ja")</f>
        <v>nein</v>
      </c>
      <c r="D64" s="121" t="str">
        <f>IF(OR(Tabelle8[[#This Row],[Transportdistanz '[km'] Eingabe]]="",Tabelle8[[#This Row],[Transportdistanz '[km'] Eingabe]]=0),"50",Tabelle8[[#This Row],[Transportdistanz '[km'] Eingabe]])</f>
        <v>50</v>
      </c>
      <c r="E64" s="120"/>
      <c r="F64" s="118"/>
    </row>
    <row r="65" spans="1:6" ht="21" x14ac:dyDescent="0.65">
      <c r="A65" s="121"/>
      <c r="B65" s="121"/>
      <c r="C65" s="121" t="str">
        <f>IF(IFERROR(_xlfn.XLOOKUP(Tabelle8[[#This Row],[Material]],Baukon_alle_A1_A3_results[Material],Baukon_alle_A1_A3_results[Material]),"nein")="nein","nein","ja")</f>
        <v>nein</v>
      </c>
      <c r="D65" s="121" t="str">
        <f>IF(OR(Tabelle8[[#This Row],[Transportdistanz '[km'] Eingabe]]="",Tabelle8[[#This Row],[Transportdistanz '[km'] Eingabe]]=0),"50",Tabelle8[[#This Row],[Transportdistanz '[km'] Eingabe]])</f>
        <v>50</v>
      </c>
      <c r="E65" s="120"/>
      <c r="F65" s="118"/>
    </row>
    <row r="66" spans="1:6" ht="21" x14ac:dyDescent="0.65">
      <c r="A66" s="121"/>
      <c r="B66" s="121"/>
      <c r="C66" s="121" t="str">
        <f>IF(IFERROR(_xlfn.XLOOKUP(Tabelle8[[#This Row],[Material]],Baukon_alle_A1_A3_results[Material],Baukon_alle_A1_A3_results[Material]),"nein")="nein","nein","ja")</f>
        <v>nein</v>
      </c>
      <c r="D66" s="121" t="str">
        <f>IF(OR(Tabelle8[[#This Row],[Transportdistanz '[km'] Eingabe]]="",Tabelle8[[#This Row],[Transportdistanz '[km'] Eingabe]]=0),"50",Tabelle8[[#This Row],[Transportdistanz '[km'] Eingabe]])</f>
        <v>50</v>
      </c>
      <c r="E66" s="120"/>
      <c r="F66" s="118"/>
    </row>
    <row r="67" spans="1:6" ht="21" x14ac:dyDescent="0.65">
      <c r="A67" s="121"/>
      <c r="B67" s="121"/>
      <c r="C67" s="121" t="str">
        <f>IF(IFERROR(_xlfn.XLOOKUP(Tabelle8[[#This Row],[Material]],Baukon_alle_A1_A3_results[Material],Baukon_alle_A1_A3_results[Material]),"nein")="nein","nein","ja")</f>
        <v>nein</v>
      </c>
      <c r="D67" s="121" t="str">
        <f>IF(OR(Tabelle8[[#This Row],[Transportdistanz '[km'] Eingabe]]="",Tabelle8[[#This Row],[Transportdistanz '[km'] Eingabe]]=0),"50",Tabelle8[[#This Row],[Transportdistanz '[km'] Eingabe]])</f>
        <v>50</v>
      </c>
      <c r="E67" s="120"/>
      <c r="F67" s="118"/>
    </row>
  </sheetData>
  <sheetProtection pivotTables="0"/>
  <protectedRanges>
    <protectedRange sqref="E16:E70" name="Bereich1"/>
    <protectedRange sqref="F16:F70" name="Bereich2"/>
  </protectedRanges>
  <phoneticPr fontId="9" type="noConversion"/>
  <dataValidations count="3">
    <dataValidation allowBlank="1" showInputMessage="1" showErrorMessage="1" promptTitle="Transportdistanz Eingabe" prompt="Bei Eingabe einer Transportdistanz wird der Standardwert überschrieben." sqref="E15" xr:uid="{B5D2E66F-1186-4E2D-A5E0-AF8C0730A0B8}"/>
    <dataValidation allowBlank="1" showInputMessage="1" showErrorMessage="1" promptTitle="Transportmodus" prompt="Bitte wählen Sie einen Transportmodus. Voreinstellung: LKW" sqref="F15" xr:uid="{95AABEBF-CF42-401C-BDF1-7B32B05E05B7}"/>
    <dataValidation allowBlank="1" showInputMessage="1" showErrorMessage="1" promptTitle="Datensatz verwendet" prompt="Diese Spalte zeigt an, ob das Material in einer Baukonstruktion verwendet wird." sqref="C15" xr:uid="{BC5CCBEF-1C81-4D8D-83C4-8956F4DCBC59}"/>
  </dataValidations>
  <pageMargins left="0.7" right="0.7" top="0.78740157499999996" bottom="0.78740157499999996" header="0.3" footer="0.3"/>
  <pageSetup paperSize="9" scale="37" orientation="portrait" r:id="rId1"/>
  <headerFooter>
    <oddHeader>&amp;CLeitRess | Bauteil-LCA&amp;R2023</oddHeader>
  </headerFooter>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showErrorMessage="1" xr:uid="{DC421052-5862-4081-BDA2-E09534826692}">
          <x14:formula1>
            <xm:f>Listen!$E$2:$E$4</xm:f>
          </x14:formula1>
          <xm:sqref>F16:F67</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E9D23C-7FF8-4DDC-8FCA-304F881D384D}">
  <sheetPr codeName="Tabelle9"/>
  <dimension ref="A1:L23"/>
  <sheetViews>
    <sheetView topLeftCell="E1" workbookViewId="0">
      <selection activeCell="G2" sqref="G2:K3"/>
    </sheetView>
  </sheetViews>
  <sheetFormatPr baseColWidth="10" defaultColWidth="11.46484375" defaultRowHeight="14.25" x14ac:dyDescent="0.45"/>
  <cols>
    <col min="1" max="1" width="17.86328125" bestFit="1" customWidth="1"/>
    <col min="2" max="2" width="62.33203125" bestFit="1" customWidth="1"/>
    <col min="3" max="3" width="35.6640625" bestFit="1" customWidth="1"/>
    <col min="4" max="4" width="31.46484375" bestFit="1" customWidth="1"/>
    <col min="5" max="5" width="31.6640625" bestFit="1" customWidth="1"/>
    <col min="6" max="6" width="31" bestFit="1" customWidth="1"/>
    <col min="7" max="7" width="26.6640625" bestFit="1" customWidth="1"/>
    <col min="8" max="8" width="27.1328125" bestFit="1" customWidth="1"/>
    <col min="9" max="9" width="24.33203125" bestFit="1" customWidth="1"/>
    <col min="10" max="10" width="20" bestFit="1" customWidth="1"/>
    <col min="11" max="11" width="20.33203125" bestFit="1" customWidth="1"/>
    <col min="12" max="12" width="9.86328125" bestFit="1" customWidth="1"/>
  </cols>
  <sheetData>
    <row r="1" spans="1:12" x14ac:dyDescent="0.45">
      <c r="A1" t="s">
        <v>170</v>
      </c>
      <c r="B1" t="s">
        <v>174</v>
      </c>
      <c r="C1" t="s">
        <v>201</v>
      </c>
      <c r="D1" t="s">
        <v>202</v>
      </c>
      <c r="E1" t="s">
        <v>203</v>
      </c>
      <c r="F1" t="s">
        <v>207</v>
      </c>
      <c r="G1" t="s">
        <v>208</v>
      </c>
      <c r="H1" t="s">
        <v>209</v>
      </c>
      <c r="I1" t="s">
        <v>210</v>
      </c>
      <c r="J1" t="s">
        <v>211</v>
      </c>
      <c r="K1" t="s">
        <v>212</v>
      </c>
      <c r="L1" t="s">
        <v>107</v>
      </c>
    </row>
    <row r="2" spans="1:12" x14ac:dyDescent="0.45">
      <c r="A2" t="s">
        <v>53</v>
      </c>
      <c r="B2" t="s">
        <v>86</v>
      </c>
      <c r="C2" s="132">
        <v>1414.3105881884856</v>
      </c>
      <c r="D2" s="132">
        <v>1410.8949730849927</v>
      </c>
      <c r="E2" s="132">
        <v>1421.1418183954713</v>
      </c>
      <c r="F2" s="132">
        <v>256.80444494169217</v>
      </c>
      <c r="G2" s="132">
        <v>251.5809619518466</v>
      </c>
      <c r="H2" s="132">
        <v>267.25141092138335</v>
      </c>
      <c r="I2" s="132">
        <v>2553.2307903317778</v>
      </c>
      <c r="J2" s="132">
        <v>2432.391018093389</v>
      </c>
      <c r="K2" s="132">
        <v>2794.9103348085564</v>
      </c>
      <c r="L2" t="s">
        <v>299</v>
      </c>
    </row>
    <row r="3" spans="1:12" x14ac:dyDescent="0.45">
      <c r="A3" t="s">
        <v>53</v>
      </c>
      <c r="B3" t="s">
        <v>71</v>
      </c>
      <c r="C3" s="132">
        <v>1621.1258986190733</v>
      </c>
      <c r="D3" s="132">
        <v>1617.7102835155804</v>
      </c>
      <c r="E3" s="132">
        <v>1627.957128826059</v>
      </c>
      <c r="F3" s="132">
        <v>246.00587812377174</v>
      </c>
      <c r="G3" s="132">
        <v>240.78239513392614</v>
      </c>
      <c r="H3" s="132">
        <v>256.45284410346295</v>
      </c>
      <c r="I3" s="132">
        <v>2579.357495714768</v>
      </c>
      <c r="J3" s="132">
        <v>2458.5177234763787</v>
      </c>
      <c r="K3" s="132">
        <v>2821.0370401915466</v>
      </c>
      <c r="L3" t="s">
        <v>299</v>
      </c>
    </row>
    <row r="4" spans="1:12" x14ac:dyDescent="0.45">
      <c r="A4" t="s">
        <v>87</v>
      </c>
      <c r="B4" t="s">
        <v>90</v>
      </c>
      <c r="C4" s="132">
        <v>455.92964337837401</v>
      </c>
      <c r="D4" s="132">
        <v>453.82057647889695</v>
      </c>
      <c r="E4" s="132">
        <v>460.14777717732812</v>
      </c>
      <c r="F4" s="132">
        <v>70.120558261653656</v>
      </c>
      <c r="G4" s="132">
        <v>66.437953876762137</v>
      </c>
      <c r="H4" s="132">
        <v>77.48576703143668</v>
      </c>
      <c r="I4" s="132">
        <v>758.2463539282536</v>
      </c>
      <c r="J4" s="132">
        <v>671.96921112587847</v>
      </c>
      <c r="K4" s="132">
        <v>930.80063953300373</v>
      </c>
      <c r="L4" t="s">
        <v>299</v>
      </c>
    </row>
    <row r="5" spans="1:12" x14ac:dyDescent="0.45">
      <c r="A5" t="s">
        <v>87</v>
      </c>
      <c r="B5" t="s">
        <v>97</v>
      </c>
      <c r="C5" s="132">
        <v>239.56070713487327</v>
      </c>
      <c r="D5" s="132">
        <v>235.97950564030731</v>
      </c>
      <c r="E5" s="132">
        <v>246.72311012400516</v>
      </c>
      <c r="F5" s="132">
        <v>42.354714705034837</v>
      </c>
      <c r="G5" s="132">
        <v>40.505621325286853</v>
      </c>
      <c r="H5" s="132">
        <v>46.052901464530819</v>
      </c>
      <c r="I5" s="132">
        <v>524.34328520570523</v>
      </c>
      <c r="J5" s="132">
        <v>484.87377619524045</v>
      </c>
      <c r="K5" s="132">
        <v>603.28230322663501</v>
      </c>
      <c r="L5" t="s">
        <v>299</v>
      </c>
    </row>
    <row r="6" spans="1:12" x14ac:dyDescent="0.45">
      <c r="A6" t="s">
        <v>87</v>
      </c>
      <c r="B6" t="s">
        <v>93</v>
      </c>
      <c r="C6" s="132">
        <v>339.51645506485653</v>
      </c>
      <c r="D6" s="132">
        <v>335.8323157922768</v>
      </c>
      <c r="E6" s="132">
        <v>346.88473361001599</v>
      </c>
      <c r="F6" s="132">
        <v>49.314952900245927</v>
      </c>
      <c r="G6" s="132">
        <v>47.754426725739279</v>
      </c>
      <c r="H6" s="132">
        <v>52.436005249259217</v>
      </c>
      <c r="I6" s="132">
        <v>488.93963989303813</v>
      </c>
      <c r="J6" s="132">
        <v>459.6523187359636</v>
      </c>
      <c r="K6" s="132">
        <v>547.51428220718731</v>
      </c>
      <c r="L6" t="s">
        <v>299</v>
      </c>
    </row>
    <row r="7" spans="1:12" x14ac:dyDescent="0.45">
      <c r="A7" t="s">
        <v>87</v>
      </c>
      <c r="B7" t="s">
        <v>96</v>
      </c>
      <c r="C7" s="132">
        <v>473.20352123470968</v>
      </c>
      <c r="D7" s="132">
        <v>468.24357164426806</v>
      </c>
      <c r="E7" s="132">
        <v>483.12342041559288</v>
      </c>
      <c r="F7" s="132">
        <v>65.946389968749472</v>
      </c>
      <c r="G7" s="132">
        <v>63.911689843230953</v>
      </c>
      <c r="H7" s="132">
        <v>70.015790219786496</v>
      </c>
      <c r="I7" s="132">
        <v>590.40020985011199</v>
      </c>
      <c r="J7" s="132">
        <v>558.74722239702749</v>
      </c>
      <c r="K7" s="132">
        <v>653.70618475628112</v>
      </c>
      <c r="L7" t="s">
        <v>299</v>
      </c>
    </row>
    <row r="8" spans="1:12" x14ac:dyDescent="0.45">
      <c r="A8" t="s">
        <v>87</v>
      </c>
      <c r="B8" t="s">
        <v>99</v>
      </c>
      <c r="C8" s="132">
        <v>395.5773882314698</v>
      </c>
      <c r="D8" s="132">
        <v>395.5773882314698</v>
      </c>
      <c r="E8" s="132">
        <v>395.5773882314698</v>
      </c>
      <c r="F8" s="132">
        <v>103.33718447688108</v>
      </c>
      <c r="G8" s="132">
        <v>103.33718447688108</v>
      </c>
      <c r="H8" s="132">
        <v>103.33718447688108</v>
      </c>
      <c r="I8" s="132">
        <v>1373.3524417458107</v>
      </c>
      <c r="J8" s="132">
        <v>1373.3524417458107</v>
      </c>
      <c r="K8" s="132">
        <v>1373.3524417458107</v>
      </c>
      <c r="L8" t="s">
        <v>299</v>
      </c>
    </row>
    <row r="9" spans="1:12" x14ac:dyDescent="0.45">
      <c r="A9" t="s">
        <v>87</v>
      </c>
      <c r="B9" t="s">
        <v>101</v>
      </c>
      <c r="C9" s="132">
        <v>574.23572707939627</v>
      </c>
      <c r="D9" s="132">
        <v>570.65452558483014</v>
      </c>
      <c r="E9" s="132">
        <v>581.39813006852808</v>
      </c>
      <c r="F9" s="132">
        <v>121.14835508990686</v>
      </c>
      <c r="G9" s="132">
        <v>119.29926171015887</v>
      </c>
      <c r="H9" s="132">
        <v>124.84654184940284</v>
      </c>
      <c r="I9" s="132">
        <v>1376.0671144339178</v>
      </c>
      <c r="J9" s="132">
        <v>1336.5976054234532</v>
      </c>
      <c r="K9" s="132">
        <v>1455.0061324548478</v>
      </c>
      <c r="L9" t="s">
        <v>299</v>
      </c>
    </row>
    <row r="10" spans="1:12" x14ac:dyDescent="0.45">
      <c r="A10" t="s">
        <v>87</v>
      </c>
      <c r="B10" t="s">
        <v>102</v>
      </c>
      <c r="C10" s="132">
        <v>47.297214398626934</v>
      </c>
      <c r="D10" s="132">
        <v>44.217389837714279</v>
      </c>
      <c r="E10" s="132">
        <v>53.456950764592783</v>
      </c>
      <c r="F10" s="132">
        <v>12.559541443519903</v>
      </c>
      <c r="G10" s="132">
        <v>10.969330816040532</v>
      </c>
      <c r="H10" s="132">
        <v>15.740059489517657</v>
      </c>
      <c r="I10" s="132">
        <v>230.30689348978032</v>
      </c>
      <c r="J10" s="132">
        <v>196.36317613102591</v>
      </c>
      <c r="K10" s="132">
        <v>298.19493210974304</v>
      </c>
      <c r="L10" t="s">
        <v>299</v>
      </c>
    </row>
    <row r="11" spans="1:12" x14ac:dyDescent="0.45">
      <c r="A11" t="s">
        <v>87</v>
      </c>
      <c r="B11" t="s">
        <v>103</v>
      </c>
      <c r="C11" s="132">
        <v>85.115276802459917</v>
      </c>
      <c r="D11" s="132">
        <v>81.276696964119196</v>
      </c>
      <c r="E11" s="132">
        <v>92.792436479141344</v>
      </c>
      <c r="F11" s="132">
        <v>12.884395028132081</v>
      </c>
      <c r="G11" s="132">
        <v>12.469400951587685</v>
      </c>
      <c r="H11" s="132">
        <v>13.714383181220878</v>
      </c>
      <c r="I11" s="132">
        <v>194.8995536750972</v>
      </c>
      <c r="J11" s="132">
        <v>191.46568684245784</v>
      </c>
      <c r="K11" s="132">
        <v>201.76728734037599</v>
      </c>
      <c r="L11" t="s">
        <v>299</v>
      </c>
    </row>
    <row r="12" spans="1:12" x14ac:dyDescent="0.45">
      <c r="A12" t="s">
        <v>87</v>
      </c>
      <c r="B12" t="s">
        <v>89</v>
      </c>
      <c r="C12" s="132">
        <v>219.78902277237125</v>
      </c>
      <c r="D12" s="132">
        <v>219.78902277237125</v>
      </c>
      <c r="E12" s="132">
        <v>219.78902277237125</v>
      </c>
      <c r="F12" s="132">
        <v>178.09684001542942</v>
      </c>
      <c r="G12" s="132">
        <v>178.09684001542942</v>
      </c>
      <c r="H12" s="132">
        <v>178.09684001542942</v>
      </c>
      <c r="I12" s="132">
        <v>2523.0039684035078</v>
      </c>
      <c r="J12" s="132">
        <v>2523.0039684035078</v>
      </c>
      <c r="K12" s="132">
        <v>2523.0039684035078</v>
      </c>
      <c r="L12" t="s">
        <v>299</v>
      </c>
    </row>
    <row r="13" spans="1:12" x14ac:dyDescent="0.45">
      <c r="A13" t="s">
        <v>87</v>
      </c>
      <c r="B13" t="s">
        <v>105</v>
      </c>
      <c r="C13" s="132">
        <v>680.34887336896156</v>
      </c>
      <c r="D13" s="132">
        <v>670.89120456533726</v>
      </c>
      <c r="E13" s="132">
        <v>699.26421097621017</v>
      </c>
      <c r="F13" s="132">
        <v>38.103294283335934</v>
      </c>
      <c r="G13" s="132">
        <v>32.386459277778165</v>
      </c>
      <c r="H13" s="132">
        <v>49.536964294451458</v>
      </c>
      <c r="I13" s="132">
        <v>520.97598483363026</v>
      </c>
      <c r="J13" s="132">
        <v>424.33054451648627</v>
      </c>
      <c r="K13" s="132">
        <v>714.26686546791802</v>
      </c>
      <c r="L13" t="s">
        <v>299</v>
      </c>
    </row>
    <row r="14" spans="1:12" x14ac:dyDescent="0.45">
      <c r="A14" t="s">
        <v>87</v>
      </c>
      <c r="B14" t="s">
        <v>106</v>
      </c>
      <c r="C14" s="132">
        <v>878.95707418795541</v>
      </c>
      <c r="D14" s="132">
        <v>875.37595993753007</v>
      </c>
      <c r="E14" s="132">
        <v>886.11947717708745</v>
      </c>
      <c r="F14" s="132">
        <v>136.59231169794452</v>
      </c>
      <c r="G14" s="132">
        <v>134.74331510923554</v>
      </c>
      <c r="H14" s="132">
        <v>140.29049845744049</v>
      </c>
      <c r="I14" s="132">
        <v>1528.625473453882</v>
      </c>
      <c r="J14" s="132">
        <v>1489.1565683458712</v>
      </c>
      <c r="K14" s="132">
        <v>1607.5644914748116</v>
      </c>
      <c r="L14" t="s">
        <v>299</v>
      </c>
    </row>
    <row r="15" spans="1:12" x14ac:dyDescent="0.45">
      <c r="A15" t="s">
        <v>87</v>
      </c>
      <c r="B15" t="s">
        <v>109</v>
      </c>
      <c r="C15" s="132">
        <v>723.84559136501446</v>
      </c>
      <c r="D15" s="132">
        <v>720.264477114589</v>
      </c>
      <c r="E15" s="132">
        <v>731.00799435414638</v>
      </c>
      <c r="F15" s="132">
        <v>144.69123681138484</v>
      </c>
      <c r="G15" s="132">
        <v>142.84224022267585</v>
      </c>
      <c r="H15" s="132">
        <v>148.38942357088081</v>
      </c>
      <c r="I15" s="132">
        <v>1509.0304444166393</v>
      </c>
      <c r="J15" s="132">
        <v>1469.5615393086287</v>
      </c>
      <c r="K15" s="132">
        <v>1587.9694624375691</v>
      </c>
      <c r="L15" t="s">
        <v>299</v>
      </c>
    </row>
    <row r="16" spans="1:12" x14ac:dyDescent="0.45">
      <c r="A16" t="s">
        <v>123</v>
      </c>
      <c r="B16" t="s">
        <v>124</v>
      </c>
      <c r="C16" s="132">
        <v>114.21876254010827</v>
      </c>
      <c r="D16" s="132">
        <v>110.63764828968284</v>
      </c>
      <c r="E16" s="132">
        <v>121.38116552924016</v>
      </c>
      <c r="F16" s="132">
        <v>31.54540739258815</v>
      </c>
      <c r="G16" s="132">
        <v>29.696410803879175</v>
      </c>
      <c r="H16" s="132">
        <v>35.243594152084128</v>
      </c>
      <c r="I16" s="132">
        <v>504.64153402417384</v>
      </c>
      <c r="J16" s="132">
        <v>465.17262891616303</v>
      </c>
      <c r="K16" s="132">
        <v>583.58055204510356</v>
      </c>
      <c r="L16" t="s">
        <v>299</v>
      </c>
    </row>
    <row r="17" spans="1:12" x14ac:dyDescent="0.45">
      <c r="A17" t="s">
        <v>110</v>
      </c>
      <c r="B17" t="s">
        <v>116</v>
      </c>
      <c r="C17" s="132">
        <v>303.45921812759968</v>
      </c>
      <c r="D17" s="132">
        <v>299.87801663303372</v>
      </c>
      <c r="E17" s="132">
        <v>310.62162111673155</v>
      </c>
      <c r="F17" s="132">
        <v>51.801431546496694</v>
      </c>
      <c r="G17" s="132">
        <v>49.952338166748703</v>
      </c>
      <c r="H17" s="132">
        <v>55.499618305992676</v>
      </c>
      <c r="I17" s="132">
        <v>576.28971058954198</v>
      </c>
      <c r="J17" s="132">
        <v>536.82020157907721</v>
      </c>
      <c r="K17" s="132">
        <v>655.22872861047176</v>
      </c>
      <c r="L17" t="s">
        <v>299</v>
      </c>
    </row>
    <row r="18" spans="1:12" x14ac:dyDescent="0.45">
      <c r="A18" t="s">
        <v>110</v>
      </c>
      <c r="B18" t="s">
        <v>115</v>
      </c>
      <c r="C18" s="132">
        <v>87.754927997860904</v>
      </c>
      <c r="D18" s="132">
        <v>84.339312894368049</v>
      </c>
      <c r="E18" s="132">
        <v>94.586158204846598</v>
      </c>
      <c r="F18" s="132">
        <v>43.644410755577873</v>
      </c>
      <c r="G18" s="132">
        <v>38.420927765732287</v>
      </c>
      <c r="H18" s="132">
        <v>54.091376735269066</v>
      </c>
      <c r="I18" s="132">
        <v>792.68145106864688</v>
      </c>
      <c r="J18" s="132">
        <v>671.84167883025771</v>
      </c>
      <c r="K18" s="132">
        <v>1034.3609955454253</v>
      </c>
      <c r="L18" t="s">
        <v>299</v>
      </c>
    </row>
    <row r="19" spans="1:12" x14ac:dyDescent="0.45">
      <c r="A19" t="s">
        <v>110</v>
      </c>
      <c r="B19" t="s">
        <v>114</v>
      </c>
      <c r="C19" s="132">
        <v>760.22088403484486</v>
      </c>
      <c r="D19" s="132">
        <v>758.1118171353678</v>
      </c>
      <c r="E19" s="132">
        <v>764.43901783379897</v>
      </c>
      <c r="F19" s="132">
        <v>136.04760300911502</v>
      </c>
      <c r="G19" s="132">
        <v>132.36499862422352</v>
      </c>
      <c r="H19" s="132">
        <v>143.41281177889803</v>
      </c>
      <c r="I19" s="132">
        <v>1413.8954518421883</v>
      </c>
      <c r="J19" s="132">
        <v>1327.6183090398131</v>
      </c>
      <c r="K19" s="132">
        <v>1586.4497374469386</v>
      </c>
      <c r="L19" t="s">
        <v>299</v>
      </c>
    </row>
    <row r="20" spans="1:12" x14ac:dyDescent="0.45">
      <c r="A20" t="s">
        <v>117</v>
      </c>
      <c r="B20" t="s">
        <v>119</v>
      </c>
      <c r="C20" s="132">
        <v>671.69873089183579</v>
      </c>
      <c r="D20" s="132">
        <v>663.94948319513367</v>
      </c>
      <c r="E20" s="132">
        <v>687.19722628524005</v>
      </c>
      <c r="F20" s="132">
        <v>103.8344440697269</v>
      </c>
      <c r="G20" s="132">
        <v>100.07219971960504</v>
      </c>
      <c r="H20" s="132">
        <v>111.35893276997064</v>
      </c>
      <c r="I20" s="132">
        <v>1560.564100568135</v>
      </c>
      <c r="J20" s="132">
        <v>1473.434576833655</v>
      </c>
      <c r="K20" s="132">
        <v>1734.8231480370951</v>
      </c>
      <c r="L20" t="s">
        <v>299</v>
      </c>
    </row>
    <row r="21" spans="1:12" x14ac:dyDescent="0.45">
      <c r="A21" t="s">
        <v>117</v>
      </c>
      <c r="B21" t="s">
        <v>118</v>
      </c>
      <c r="C21" s="132">
        <v>85.240494840979196</v>
      </c>
      <c r="D21" s="132">
        <v>81.778739433015886</v>
      </c>
      <c r="E21" s="132">
        <v>92.164180145186876</v>
      </c>
      <c r="F21" s="132">
        <v>23.194265616763889</v>
      </c>
      <c r="G21" s="132">
        <v>21.406889342206675</v>
      </c>
      <c r="H21" s="132">
        <v>26.769211747956337</v>
      </c>
      <c r="I21" s="132">
        <v>332.72675115024555</v>
      </c>
      <c r="J21" s="132">
        <v>294.57339569217459</v>
      </c>
      <c r="K21" s="132">
        <v>409.03466987129565</v>
      </c>
      <c r="L21" t="s">
        <v>299</v>
      </c>
    </row>
    <row r="22" spans="1:12" x14ac:dyDescent="0.45">
      <c r="A22" t="s">
        <v>120</v>
      </c>
      <c r="B22" t="s">
        <v>121</v>
      </c>
      <c r="C22" s="132">
        <v>337.4915807557345</v>
      </c>
      <c r="D22" s="132">
        <v>337.4915807557345</v>
      </c>
      <c r="E22" s="132">
        <v>337.4915807557345</v>
      </c>
      <c r="F22" s="132">
        <v>148.29186454076208</v>
      </c>
      <c r="G22" s="132">
        <v>148.29186454076208</v>
      </c>
      <c r="H22" s="132">
        <v>148.29186454076208</v>
      </c>
      <c r="I22" s="132">
        <v>2271.1468318422385</v>
      </c>
      <c r="J22" s="132">
        <v>2271.1468318422385</v>
      </c>
      <c r="K22" s="132">
        <v>2271.1468318422385</v>
      </c>
      <c r="L22" t="s">
        <v>299</v>
      </c>
    </row>
    <row r="23" spans="1:12" x14ac:dyDescent="0.45">
      <c r="A23" t="s">
        <v>120</v>
      </c>
      <c r="B23" t="s">
        <v>122</v>
      </c>
      <c r="C23" s="132">
        <v>1.3086621077145761</v>
      </c>
      <c r="D23" s="132">
        <v>1.3086621077145761</v>
      </c>
      <c r="E23" s="132">
        <v>1.3086621077145761</v>
      </c>
      <c r="F23" s="132">
        <v>1.4518655852337374</v>
      </c>
      <c r="G23" s="132">
        <v>1.4518655852337374</v>
      </c>
      <c r="H23" s="132">
        <v>1.4518655852337374</v>
      </c>
      <c r="I23" s="132">
        <v>9.0585368099999997</v>
      </c>
      <c r="J23" s="132">
        <v>9.0585368099999997</v>
      </c>
      <c r="K23" s="132">
        <v>9.0585368099999997</v>
      </c>
      <c r="L23" t="s">
        <v>299</v>
      </c>
    </row>
  </sheetData>
  <pageMargins left="0.7" right="0.7" top="0.78740157499999996" bottom="0.78740157499999996" header="0.3" footer="0.3"/>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865750-A9C0-45DA-9C98-7B0AE0413224}">
  <sheetPr codeName="Tabelle10"/>
  <dimension ref="A1:AE87"/>
  <sheetViews>
    <sheetView topLeftCell="R12" zoomScale="55" zoomScaleNormal="55" workbookViewId="0">
      <selection activeCell="H77" sqref="H77:Z77"/>
    </sheetView>
  </sheetViews>
  <sheetFormatPr baseColWidth="10" defaultColWidth="11.46484375" defaultRowHeight="14.25" x14ac:dyDescent="0.45"/>
  <cols>
    <col min="1" max="1" width="22.1328125" bestFit="1" customWidth="1"/>
    <col min="2" max="2" width="55.46484375" bestFit="1" customWidth="1"/>
    <col min="3" max="3" width="22.1328125" bestFit="1" customWidth="1"/>
    <col min="4" max="4" width="72.33203125" bestFit="1" customWidth="1"/>
    <col min="5" max="5" width="35.46484375" bestFit="1" customWidth="1"/>
    <col min="6" max="6" width="52.33203125" bestFit="1" customWidth="1"/>
    <col min="7" max="7" width="32" bestFit="1" customWidth="1"/>
    <col min="8" max="8" width="25.53125" bestFit="1" customWidth="1"/>
    <col min="9" max="9" width="26.33203125" bestFit="1" customWidth="1"/>
    <col min="10" max="10" width="21.86328125" bestFit="1" customWidth="1"/>
    <col min="11" max="11" width="12.46484375" bestFit="1" customWidth="1"/>
    <col min="12" max="12" width="42.1328125" bestFit="1" customWidth="1"/>
    <col min="13" max="13" width="37.1328125" bestFit="1" customWidth="1"/>
    <col min="14" max="14" width="52.86328125" bestFit="1" customWidth="1"/>
    <col min="15" max="15" width="46.33203125" bestFit="1" customWidth="1"/>
    <col min="16" max="16" width="46.53125" bestFit="1" customWidth="1"/>
    <col min="17" max="17" width="64.53125" bestFit="1" customWidth="1"/>
    <col min="18" max="18" width="57.86328125" bestFit="1" customWidth="1"/>
    <col min="19" max="19" width="58.33203125" bestFit="1" customWidth="1"/>
    <col min="20" max="20" width="46.6640625" bestFit="1" customWidth="1"/>
    <col min="21" max="21" width="40.1328125" bestFit="1" customWidth="1"/>
    <col min="22" max="22" width="40.53125" bestFit="1" customWidth="1"/>
    <col min="23" max="23" width="37.1328125" bestFit="1" customWidth="1"/>
    <col min="24" max="24" width="30.46484375" bestFit="1" customWidth="1"/>
    <col min="25" max="25" width="30.6640625" bestFit="1" customWidth="1"/>
    <col min="26" max="26" width="53.46484375" bestFit="1" customWidth="1"/>
    <col min="27" max="27" width="46.6640625" bestFit="1" customWidth="1"/>
    <col min="28" max="28" width="47.33203125" bestFit="1" customWidth="1"/>
    <col min="29" max="29" width="37.86328125" bestFit="1" customWidth="1"/>
    <col min="30" max="30" width="31.33203125" bestFit="1" customWidth="1"/>
    <col min="31" max="31" width="31.6640625" bestFit="1" customWidth="1"/>
    <col min="32" max="32" width="33.86328125" bestFit="1" customWidth="1"/>
    <col min="33" max="33" width="25" bestFit="1" customWidth="1"/>
    <col min="34" max="34" width="25.33203125" bestFit="1" customWidth="1"/>
    <col min="35" max="35" width="37.6640625" bestFit="1" customWidth="1"/>
    <col min="36" max="36" width="37.86328125" bestFit="1" customWidth="1"/>
    <col min="37" max="37" width="30" bestFit="1" customWidth="1"/>
    <col min="38" max="38" width="25" bestFit="1" customWidth="1"/>
    <col min="39" max="39" width="25.33203125" bestFit="1" customWidth="1"/>
  </cols>
  <sheetData>
    <row r="1" spans="1:31" ht="15.75" x14ac:dyDescent="0.5">
      <c r="A1" t="s">
        <v>170</v>
      </c>
      <c r="B1" t="s">
        <v>171</v>
      </c>
      <c r="C1" t="s">
        <v>173</v>
      </c>
      <c r="D1" t="s">
        <v>174</v>
      </c>
      <c r="E1" t="s">
        <v>176</v>
      </c>
      <c r="F1" t="s">
        <v>49</v>
      </c>
      <c r="G1" t="s">
        <v>197</v>
      </c>
      <c r="H1" t="s">
        <v>198</v>
      </c>
      <c r="I1" t="s">
        <v>199</v>
      </c>
      <c r="J1" t="s">
        <v>178</v>
      </c>
      <c r="K1" t="s">
        <v>107</v>
      </c>
      <c r="L1" t="s">
        <v>300</v>
      </c>
      <c r="M1" t="s">
        <v>301</v>
      </c>
      <c r="N1" s="30" t="s">
        <v>201</v>
      </c>
      <c r="O1" s="30" t="s">
        <v>202</v>
      </c>
      <c r="P1" s="30" t="s">
        <v>203</v>
      </c>
      <c r="Q1" s="30" t="s">
        <v>204</v>
      </c>
      <c r="R1" s="30" t="s">
        <v>205</v>
      </c>
      <c r="S1" s="30" t="s">
        <v>206</v>
      </c>
      <c r="T1" s="30" t="s">
        <v>207</v>
      </c>
      <c r="U1" s="30" t="s">
        <v>208</v>
      </c>
      <c r="V1" s="30" t="s">
        <v>209</v>
      </c>
      <c r="W1" s="30" t="s">
        <v>210</v>
      </c>
      <c r="X1" s="30" t="s">
        <v>211</v>
      </c>
      <c r="Y1" s="30" t="s">
        <v>212</v>
      </c>
      <c r="Z1" s="30" t="s">
        <v>216</v>
      </c>
      <c r="AA1" s="30" t="s">
        <v>217</v>
      </c>
      <c r="AB1" s="30" t="s">
        <v>218</v>
      </c>
      <c r="AC1" s="30" t="s">
        <v>219</v>
      </c>
      <c r="AD1" s="30" t="s">
        <v>220</v>
      </c>
      <c r="AE1" s="30" t="s">
        <v>221</v>
      </c>
    </row>
    <row r="2" spans="1:31" x14ac:dyDescent="0.45">
      <c r="A2" t="s">
        <v>53</v>
      </c>
      <c r="B2" t="s">
        <v>302</v>
      </c>
      <c r="C2" t="s">
        <v>303</v>
      </c>
      <c r="D2" t="s">
        <v>86</v>
      </c>
      <c r="E2" t="s">
        <v>304</v>
      </c>
      <c r="F2" t="s">
        <v>224</v>
      </c>
      <c r="G2">
        <v>118</v>
      </c>
      <c r="H2">
        <v>118</v>
      </c>
      <c r="I2">
        <v>118</v>
      </c>
      <c r="K2" t="s">
        <v>17</v>
      </c>
      <c r="L2" t="s">
        <v>305</v>
      </c>
      <c r="M2" t="s">
        <v>253</v>
      </c>
      <c r="N2" s="132">
        <f>_xlfn.XLOOKUP(Baukon_alle_A4_join[[#This Row],[Transport.Transport-Modus]],LeitRess_Materialien[Name],LeitRess_Materialien[RMI '[kg Primärrohstoffe / kg']])*Baukon_alle_A4_join[[#This Row],[Transportdistanz.Voreinstellung]]*Baukon_alle_A4_join[[#This Row],[Masse '[kg/m²'] Referenz]]</f>
        <v>1.0294808580687997</v>
      </c>
      <c r="O2" s="132">
        <f>_xlfn.XLOOKUP(Baukon_alle_A4_join[[#This Row],[Transport.Transport-Modus]],LeitRess_Materialien[Name],LeitRess_Materialien[RMI '[kg Primärrohstoffe / kg']])*Baukon_alle_A4_join[[#This Row],[Transportdistanz.Voreinstellung]]*Baukon_alle_A4_join[[#This Row],[Masse '[kg/m²'] min]]</f>
        <v>1.0294808580687997</v>
      </c>
      <c r="P2" s="132">
        <f>_xlfn.XLOOKUP(Baukon_alle_A4_join[[#This Row],[Transport.Transport-Modus]],LeitRess_Materialien[Name],LeitRess_Materialien[RMI '[kg Primärrohstoffe / kg']])*Baukon_alle_A4_join[[#This Row],[Transportdistanz.Voreinstellung]]*Baukon_alle_A4_join[[#This Row],[Masse '[kg/m²'] max]]</f>
        <v>1.0294808580687997</v>
      </c>
      <c r="Q2" s="132">
        <f>_xlfn.XLOOKUP(Baukon_alle_A4_join[[#This Row],[Transport.Transport-Modus]],LeitRess_Materialien[Name],LeitRess_Materialien[TMR '[kg Gesamtmaterialaufwand/kg']])*Baukon_alle_A4_join[[#This Row],[Transportdistanz.Voreinstellung]]*Baukon_alle_A4_join[[#This Row],[Masse '[kg/m²'] Referenz]]</f>
        <v>1.2269835695874511</v>
      </c>
      <c r="R2" s="132">
        <f>_xlfn.XLOOKUP(Baukon_alle_A4_join[[#This Row],[Transport.Transport-Modus]],LeitRess_Materialien[Name],LeitRess_Materialien[TMR '[kg Gesamtmaterialaufwand/kg']])*Baukon_alle_A4_join[[#This Row],[Transportdistanz.Voreinstellung]]*Baukon_alle_A4_join[[#This Row],[Masse '[kg/m²'] min]]</f>
        <v>1.2269835695874511</v>
      </c>
      <c r="S2" s="132">
        <f>_xlfn.XLOOKUP(Baukon_alle_A4_join[[#This Row],[Transport.Transport-Modus]],LeitRess_Materialien[Name],LeitRess_Materialien[TMR '[kg Gesamtmaterialaufwand/kg']])*Baukon_alle_A4_join[[#This Row],[Transportdistanz.Voreinstellung]]*Baukon_alle_A4_join[[#This Row],[Masse '[kg/m²'] max]]</f>
        <v>1.2269835695874511</v>
      </c>
      <c r="T2" s="132">
        <f>_xlfn.XLOOKUP(Baukon_alle_A4_join[[#This Row],[Transport.Transport-Modus]],LeitRess_Materialien[Name],LeitRess_Materialien[GWP '[kg CO2-Äqu./kg']])*Baukon_alle_A4_join[[#This Row],[Transportdistanz.Voreinstellung]]*Baukon_alle_A4_join[[#This Row],[Masse '[kg/m²'] Referenz]]</f>
        <v>1.1421342603838736</v>
      </c>
      <c r="U2" s="132">
        <f>_xlfn.XLOOKUP(Baukon_alle_A4_join[[#This Row],[Transport.Transport-Modus]],LeitRess_Materialien[Name],LeitRess_Materialien[GWP '[kg CO2-Äqu./kg']])*Baukon_alle_A4_join[[#This Row],[Transportdistanz.Voreinstellung]]*Baukon_alle_A4_join[[#This Row],[Masse '[kg/m²'] min]]</f>
        <v>1.1421342603838736</v>
      </c>
      <c r="V2" s="132">
        <f>_xlfn.XLOOKUP(Baukon_alle_A4_join[[#This Row],[Transport.Transport-Modus]],LeitRess_Materialien[Name],LeitRess_Materialien[GWP '[kg CO2-Äqu./kg']])*Baukon_alle_A4_join[[#This Row],[Transportdistanz.Voreinstellung]]*Baukon_alle_A4_join[[#This Row],[Masse '[kg/m²'] max]]</f>
        <v>1.1421342603838736</v>
      </c>
      <c r="W2" s="132">
        <f>_xlfn.XLOOKUP(Baukon_alle_A4_join[[#This Row],[Transport.Transport-Modus]],LeitRess_Materialien[Name],LeitRess_Materialien[PENRT '[MJ/kg']])*Baukon_alle_A4_join[[#This Row],[Transportdistanz.Voreinstellung]]*Baukon_alle_A4_join[[#This Row],[Masse '[kg/m²'] Referenz]]</f>
        <v>7.1260489571999992</v>
      </c>
      <c r="X2" s="132">
        <f>_xlfn.XLOOKUP(Baukon_alle_A4_join[[#This Row],[Transport.Transport-Modus]],LeitRess_Materialien[Name],LeitRess_Materialien[PENRT '[MJ/kg']])*Baukon_alle_A4_join[[#This Row],[Transportdistanz.Voreinstellung]]*Baukon_alle_A4_join[[#This Row],[Masse '[kg/m²'] min]]</f>
        <v>7.1260489571999992</v>
      </c>
      <c r="Y2" s="132">
        <f>_xlfn.XLOOKUP(Baukon_alle_A4_join[[#This Row],[Transport.Transport-Modus]],LeitRess_Materialien[Name],LeitRess_Materialien[PENRT '[MJ/kg']])*Baukon_alle_A4_join[[#This Row],[Transportdistanz.Voreinstellung]]*Baukon_alle_A4_join[[#This Row],[Masse '[kg/m²'] max]]</f>
        <v>7.1260489571999992</v>
      </c>
      <c r="Z2" s="132">
        <f>_xlfn.XLOOKUP(Baukon_alle_A4_join[[#This Row],[Transport.Transport-Modus]],LeitRess_Materialien[Name],LeitRess_Materialien[WDP '[m³ weighted water/kg']])*Baukon_alle_A4_join[[#This Row],[Transportdistanz.Voreinstellung]]*Baukon_alle_A4_join[[#This Row],[Masse '[kg/m²'] Referenz]]</f>
        <v>7.7498724860567261E-2</v>
      </c>
      <c r="AA2" s="132">
        <f>_xlfn.XLOOKUP(Baukon_alle_A4_join[[#This Row],[Transport.Transport-Modus]],LeitRess_Materialien[Name],LeitRess_Materialien[WDP '[m³ weighted water/kg']])*Baukon_alle_A4_join[[#This Row],[Transportdistanz.Voreinstellung]]*Baukon_alle_A4_join[[#This Row],[Masse '[kg/m²'] min]]</f>
        <v>7.7498724860567261E-2</v>
      </c>
      <c r="AB2" s="132">
        <f>_xlfn.XLOOKUP(Baukon_alle_A4_join[[#This Row],[Transport.Transport-Modus]],LeitRess_Materialien[Name],LeitRess_Materialien[WDP '[m³ weighted water/kg']])*Baukon_alle_A4_join[[#This Row],[Transportdistanz.Voreinstellung]]*Baukon_alle_A4_join[[#This Row],[Masse '[kg/m²'] max]]</f>
        <v>7.7498724860567261E-2</v>
      </c>
      <c r="AC2"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1.897576548113335E-4</v>
      </c>
      <c r="AD2"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1.897576548113335E-4</v>
      </c>
      <c r="AE2"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1.897576548113335E-4</v>
      </c>
    </row>
    <row r="3" spans="1:31" x14ac:dyDescent="0.45">
      <c r="A3" t="s">
        <v>53</v>
      </c>
      <c r="B3" t="s">
        <v>306</v>
      </c>
      <c r="C3" t="s">
        <v>303</v>
      </c>
      <c r="D3" t="s">
        <v>71</v>
      </c>
      <c r="E3" t="s">
        <v>304</v>
      </c>
      <c r="F3" t="s">
        <v>224</v>
      </c>
      <c r="G3">
        <v>118</v>
      </c>
      <c r="H3">
        <v>118</v>
      </c>
      <c r="I3">
        <v>118</v>
      </c>
      <c r="K3" t="s">
        <v>17</v>
      </c>
      <c r="L3" t="s">
        <v>305</v>
      </c>
      <c r="M3" t="s">
        <v>253</v>
      </c>
      <c r="N3" s="132">
        <f>_xlfn.XLOOKUP(Baukon_alle_A4_join[[#This Row],[Transport.Transport-Modus]],LeitRess_Materialien[Name],LeitRess_Materialien[RMI '[kg Primärrohstoffe / kg']])*Baukon_alle_A4_join[[#This Row],[Transportdistanz.Voreinstellung]]*Baukon_alle_A4_join[[#This Row],[Masse '[kg/m²'] Referenz]]</f>
        <v>1.0294808580687997</v>
      </c>
      <c r="O3" s="132">
        <f>_xlfn.XLOOKUP(Baukon_alle_A4_join[[#This Row],[Transport.Transport-Modus]],LeitRess_Materialien[Name],LeitRess_Materialien[RMI '[kg Primärrohstoffe / kg']])*Baukon_alle_A4_join[[#This Row],[Transportdistanz.Voreinstellung]]*Baukon_alle_A4_join[[#This Row],[Masse '[kg/m²'] min]]</f>
        <v>1.0294808580687997</v>
      </c>
      <c r="P3" s="132">
        <f>_xlfn.XLOOKUP(Baukon_alle_A4_join[[#This Row],[Transport.Transport-Modus]],LeitRess_Materialien[Name],LeitRess_Materialien[RMI '[kg Primärrohstoffe / kg']])*Baukon_alle_A4_join[[#This Row],[Transportdistanz.Voreinstellung]]*Baukon_alle_A4_join[[#This Row],[Masse '[kg/m²'] max]]</f>
        <v>1.0294808580687997</v>
      </c>
      <c r="Q3" s="132">
        <f>_xlfn.XLOOKUP(Baukon_alle_A4_join[[#This Row],[Transport.Transport-Modus]],LeitRess_Materialien[Name],LeitRess_Materialien[TMR '[kg Gesamtmaterialaufwand/kg']])*Baukon_alle_A4_join[[#This Row],[Transportdistanz.Voreinstellung]]*Baukon_alle_A4_join[[#This Row],[Masse '[kg/m²'] Referenz]]</f>
        <v>1.2269835695874511</v>
      </c>
      <c r="R3" s="132">
        <f>_xlfn.XLOOKUP(Baukon_alle_A4_join[[#This Row],[Transport.Transport-Modus]],LeitRess_Materialien[Name],LeitRess_Materialien[TMR '[kg Gesamtmaterialaufwand/kg']])*Baukon_alle_A4_join[[#This Row],[Transportdistanz.Voreinstellung]]*Baukon_alle_A4_join[[#This Row],[Masse '[kg/m²'] min]]</f>
        <v>1.2269835695874511</v>
      </c>
      <c r="S3" s="132">
        <f>_xlfn.XLOOKUP(Baukon_alle_A4_join[[#This Row],[Transport.Transport-Modus]],LeitRess_Materialien[Name],LeitRess_Materialien[TMR '[kg Gesamtmaterialaufwand/kg']])*Baukon_alle_A4_join[[#This Row],[Transportdistanz.Voreinstellung]]*Baukon_alle_A4_join[[#This Row],[Masse '[kg/m²'] max]]</f>
        <v>1.2269835695874511</v>
      </c>
      <c r="T3" s="132">
        <f>_xlfn.XLOOKUP(Baukon_alle_A4_join[[#This Row],[Transport.Transport-Modus]],LeitRess_Materialien[Name],LeitRess_Materialien[GWP '[kg CO2-Äqu./kg']])*Baukon_alle_A4_join[[#This Row],[Transportdistanz.Voreinstellung]]*Baukon_alle_A4_join[[#This Row],[Masse '[kg/m²'] Referenz]]</f>
        <v>1.1421342603838736</v>
      </c>
      <c r="U3" s="132">
        <f>_xlfn.XLOOKUP(Baukon_alle_A4_join[[#This Row],[Transport.Transport-Modus]],LeitRess_Materialien[Name],LeitRess_Materialien[GWP '[kg CO2-Äqu./kg']])*Baukon_alle_A4_join[[#This Row],[Transportdistanz.Voreinstellung]]*Baukon_alle_A4_join[[#This Row],[Masse '[kg/m²'] min]]</f>
        <v>1.1421342603838736</v>
      </c>
      <c r="V3" s="132">
        <f>_xlfn.XLOOKUP(Baukon_alle_A4_join[[#This Row],[Transport.Transport-Modus]],LeitRess_Materialien[Name],LeitRess_Materialien[GWP '[kg CO2-Äqu./kg']])*Baukon_alle_A4_join[[#This Row],[Transportdistanz.Voreinstellung]]*Baukon_alle_A4_join[[#This Row],[Masse '[kg/m²'] max]]</f>
        <v>1.1421342603838736</v>
      </c>
      <c r="W3" s="132">
        <f>_xlfn.XLOOKUP(Baukon_alle_A4_join[[#This Row],[Transport.Transport-Modus]],LeitRess_Materialien[Name],LeitRess_Materialien[PENRT '[MJ/kg']])*Baukon_alle_A4_join[[#This Row],[Transportdistanz.Voreinstellung]]*Baukon_alle_A4_join[[#This Row],[Masse '[kg/m²'] Referenz]]</f>
        <v>7.1260489571999992</v>
      </c>
      <c r="X3" s="132">
        <f>_xlfn.XLOOKUP(Baukon_alle_A4_join[[#This Row],[Transport.Transport-Modus]],LeitRess_Materialien[Name],LeitRess_Materialien[PENRT '[MJ/kg']])*Baukon_alle_A4_join[[#This Row],[Transportdistanz.Voreinstellung]]*Baukon_alle_A4_join[[#This Row],[Masse '[kg/m²'] min]]</f>
        <v>7.1260489571999992</v>
      </c>
      <c r="Y3" s="132">
        <f>_xlfn.XLOOKUP(Baukon_alle_A4_join[[#This Row],[Transport.Transport-Modus]],LeitRess_Materialien[Name],LeitRess_Materialien[PENRT '[MJ/kg']])*Baukon_alle_A4_join[[#This Row],[Transportdistanz.Voreinstellung]]*Baukon_alle_A4_join[[#This Row],[Masse '[kg/m²'] max]]</f>
        <v>7.1260489571999992</v>
      </c>
      <c r="Z3" s="132">
        <f>_xlfn.XLOOKUP(Baukon_alle_A4_join[[#This Row],[Transport.Transport-Modus]],LeitRess_Materialien[Name],LeitRess_Materialien[WDP '[m³ weighted water/kg']])*Baukon_alle_A4_join[[#This Row],[Transportdistanz.Voreinstellung]]*Baukon_alle_A4_join[[#This Row],[Masse '[kg/m²'] Referenz]]</f>
        <v>7.7498724860567261E-2</v>
      </c>
      <c r="AA3" s="132">
        <f>_xlfn.XLOOKUP(Baukon_alle_A4_join[[#This Row],[Transport.Transport-Modus]],LeitRess_Materialien[Name],LeitRess_Materialien[WDP '[m³ weighted water/kg']])*Baukon_alle_A4_join[[#This Row],[Transportdistanz.Voreinstellung]]*Baukon_alle_A4_join[[#This Row],[Masse '[kg/m²'] min]]</f>
        <v>7.7498724860567261E-2</v>
      </c>
      <c r="AB3" s="132">
        <f>_xlfn.XLOOKUP(Baukon_alle_A4_join[[#This Row],[Transport.Transport-Modus]],LeitRess_Materialien[Name],LeitRess_Materialien[WDP '[m³ weighted water/kg']])*Baukon_alle_A4_join[[#This Row],[Transportdistanz.Voreinstellung]]*Baukon_alle_A4_join[[#This Row],[Masse '[kg/m²'] max]]</f>
        <v>7.7498724860567261E-2</v>
      </c>
      <c r="AC3"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1.897576548113335E-4</v>
      </c>
      <c r="AD3"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1.897576548113335E-4</v>
      </c>
      <c r="AE3"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1.897576548113335E-4</v>
      </c>
    </row>
    <row r="4" spans="1:31" x14ac:dyDescent="0.45">
      <c r="A4" t="s">
        <v>53</v>
      </c>
      <c r="B4" t="s">
        <v>306</v>
      </c>
      <c r="C4" t="s">
        <v>303</v>
      </c>
      <c r="D4" t="s">
        <v>71</v>
      </c>
      <c r="E4" t="s">
        <v>307</v>
      </c>
      <c r="F4" t="s">
        <v>224</v>
      </c>
      <c r="G4">
        <v>944</v>
      </c>
      <c r="H4">
        <v>944</v>
      </c>
      <c r="I4">
        <v>944</v>
      </c>
      <c r="K4" t="s">
        <v>17</v>
      </c>
      <c r="L4" t="s">
        <v>305</v>
      </c>
      <c r="M4" t="s">
        <v>253</v>
      </c>
      <c r="N4" s="132">
        <f>_xlfn.XLOOKUP(Baukon_alle_A4_join[[#This Row],[Transport.Transport-Modus]],LeitRess_Materialien[Name],LeitRess_Materialien[RMI '[kg Primärrohstoffe / kg']])*Baukon_alle_A4_join[[#This Row],[Transportdistanz.Voreinstellung]]*Baukon_alle_A4_join[[#This Row],[Masse '[kg/m²'] Referenz]]</f>
        <v>8.2358468645503979</v>
      </c>
      <c r="O4" s="132">
        <f>_xlfn.XLOOKUP(Baukon_alle_A4_join[[#This Row],[Transport.Transport-Modus]],LeitRess_Materialien[Name],LeitRess_Materialien[RMI '[kg Primärrohstoffe / kg']])*Baukon_alle_A4_join[[#This Row],[Transportdistanz.Voreinstellung]]*Baukon_alle_A4_join[[#This Row],[Masse '[kg/m²'] min]]</f>
        <v>8.2358468645503979</v>
      </c>
      <c r="P4" s="132">
        <f>_xlfn.XLOOKUP(Baukon_alle_A4_join[[#This Row],[Transport.Transport-Modus]],LeitRess_Materialien[Name],LeitRess_Materialien[RMI '[kg Primärrohstoffe / kg']])*Baukon_alle_A4_join[[#This Row],[Transportdistanz.Voreinstellung]]*Baukon_alle_A4_join[[#This Row],[Masse '[kg/m²'] max]]</f>
        <v>8.2358468645503979</v>
      </c>
      <c r="Q4" s="132">
        <f>_xlfn.XLOOKUP(Baukon_alle_A4_join[[#This Row],[Transport.Transport-Modus]],LeitRess_Materialien[Name],LeitRess_Materialien[TMR '[kg Gesamtmaterialaufwand/kg']])*Baukon_alle_A4_join[[#This Row],[Transportdistanz.Voreinstellung]]*Baukon_alle_A4_join[[#This Row],[Masse '[kg/m²'] Referenz]]</f>
        <v>9.8158685566996091</v>
      </c>
      <c r="R4" s="132">
        <f>_xlfn.XLOOKUP(Baukon_alle_A4_join[[#This Row],[Transport.Transport-Modus]],LeitRess_Materialien[Name],LeitRess_Materialien[TMR '[kg Gesamtmaterialaufwand/kg']])*Baukon_alle_A4_join[[#This Row],[Transportdistanz.Voreinstellung]]*Baukon_alle_A4_join[[#This Row],[Masse '[kg/m²'] min]]</f>
        <v>9.8158685566996091</v>
      </c>
      <c r="S4" s="132">
        <f>_xlfn.XLOOKUP(Baukon_alle_A4_join[[#This Row],[Transport.Transport-Modus]],LeitRess_Materialien[Name],LeitRess_Materialien[TMR '[kg Gesamtmaterialaufwand/kg']])*Baukon_alle_A4_join[[#This Row],[Transportdistanz.Voreinstellung]]*Baukon_alle_A4_join[[#This Row],[Masse '[kg/m²'] max]]</f>
        <v>9.8158685566996091</v>
      </c>
      <c r="T4" s="132">
        <f>_xlfn.XLOOKUP(Baukon_alle_A4_join[[#This Row],[Transport.Transport-Modus]],LeitRess_Materialien[Name],LeitRess_Materialien[GWP '[kg CO2-Äqu./kg']])*Baukon_alle_A4_join[[#This Row],[Transportdistanz.Voreinstellung]]*Baukon_alle_A4_join[[#This Row],[Masse '[kg/m²'] Referenz]]</f>
        <v>9.1370740830709885</v>
      </c>
      <c r="U4" s="132">
        <f>_xlfn.XLOOKUP(Baukon_alle_A4_join[[#This Row],[Transport.Transport-Modus]],LeitRess_Materialien[Name],LeitRess_Materialien[GWP '[kg CO2-Äqu./kg']])*Baukon_alle_A4_join[[#This Row],[Transportdistanz.Voreinstellung]]*Baukon_alle_A4_join[[#This Row],[Masse '[kg/m²'] min]]</f>
        <v>9.1370740830709885</v>
      </c>
      <c r="V4" s="132">
        <f>_xlfn.XLOOKUP(Baukon_alle_A4_join[[#This Row],[Transport.Transport-Modus]],LeitRess_Materialien[Name],LeitRess_Materialien[GWP '[kg CO2-Äqu./kg']])*Baukon_alle_A4_join[[#This Row],[Transportdistanz.Voreinstellung]]*Baukon_alle_A4_join[[#This Row],[Masse '[kg/m²'] max]]</f>
        <v>9.1370740830709885</v>
      </c>
      <c r="W4" s="132">
        <f>_xlfn.XLOOKUP(Baukon_alle_A4_join[[#This Row],[Transport.Transport-Modus]],LeitRess_Materialien[Name],LeitRess_Materialien[PENRT '[MJ/kg']])*Baukon_alle_A4_join[[#This Row],[Transportdistanz.Voreinstellung]]*Baukon_alle_A4_join[[#This Row],[Masse '[kg/m²'] Referenz]]</f>
        <v>57.008391657599994</v>
      </c>
      <c r="X4" s="132">
        <f>_xlfn.XLOOKUP(Baukon_alle_A4_join[[#This Row],[Transport.Transport-Modus]],LeitRess_Materialien[Name],LeitRess_Materialien[PENRT '[MJ/kg']])*Baukon_alle_A4_join[[#This Row],[Transportdistanz.Voreinstellung]]*Baukon_alle_A4_join[[#This Row],[Masse '[kg/m²'] min]]</f>
        <v>57.008391657599994</v>
      </c>
      <c r="Y4" s="132">
        <f>_xlfn.XLOOKUP(Baukon_alle_A4_join[[#This Row],[Transport.Transport-Modus]],LeitRess_Materialien[Name],LeitRess_Materialien[PENRT '[MJ/kg']])*Baukon_alle_A4_join[[#This Row],[Transportdistanz.Voreinstellung]]*Baukon_alle_A4_join[[#This Row],[Masse '[kg/m²'] max]]</f>
        <v>57.008391657599994</v>
      </c>
      <c r="Z4" s="132">
        <f>_xlfn.XLOOKUP(Baukon_alle_A4_join[[#This Row],[Transport.Transport-Modus]],LeitRess_Materialien[Name],LeitRess_Materialien[WDP '[m³ weighted water/kg']])*Baukon_alle_A4_join[[#This Row],[Transportdistanz.Voreinstellung]]*Baukon_alle_A4_join[[#This Row],[Masse '[kg/m²'] Referenz]]</f>
        <v>0.61998979888453809</v>
      </c>
      <c r="AA4" s="132">
        <f>_xlfn.XLOOKUP(Baukon_alle_A4_join[[#This Row],[Transport.Transport-Modus]],LeitRess_Materialien[Name],LeitRess_Materialien[WDP '[m³ weighted water/kg']])*Baukon_alle_A4_join[[#This Row],[Transportdistanz.Voreinstellung]]*Baukon_alle_A4_join[[#This Row],[Masse '[kg/m²'] min]]</f>
        <v>0.61998979888453809</v>
      </c>
      <c r="AB4" s="132">
        <f>_xlfn.XLOOKUP(Baukon_alle_A4_join[[#This Row],[Transport.Transport-Modus]],LeitRess_Materialien[Name],LeitRess_Materialien[WDP '[m³ weighted water/kg']])*Baukon_alle_A4_join[[#This Row],[Transportdistanz.Voreinstellung]]*Baukon_alle_A4_join[[#This Row],[Masse '[kg/m²'] max]]</f>
        <v>0.61998979888453809</v>
      </c>
      <c r="AC4"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1.518061238490668E-3</v>
      </c>
      <c r="AD4"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1.518061238490668E-3</v>
      </c>
      <c r="AE4"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1.518061238490668E-3</v>
      </c>
    </row>
    <row r="5" spans="1:31" x14ac:dyDescent="0.45">
      <c r="A5" t="s">
        <v>87</v>
      </c>
      <c r="B5" t="s">
        <v>308</v>
      </c>
      <c r="C5" t="s">
        <v>309</v>
      </c>
      <c r="D5" t="s">
        <v>90</v>
      </c>
      <c r="E5" t="s">
        <v>310</v>
      </c>
      <c r="F5" t="s">
        <v>252</v>
      </c>
      <c r="G5">
        <v>15.75</v>
      </c>
      <c r="H5">
        <v>15.75</v>
      </c>
      <c r="I5">
        <v>15.75</v>
      </c>
      <c r="K5" t="s">
        <v>17</v>
      </c>
      <c r="L5" t="s">
        <v>305</v>
      </c>
      <c r="M5" t="s">
        <v>253</v>
      </c>
      <c r="N5" s="132">
        <f>_xlfn.XLOOKUP(Baukon_alle_A4_join[[#This Row],[Transport.Transport-Modus]],LeitRess_Materialien[Name],LeitRess_Materialien[RMI '[kg Primärrohstoffe / kg']])*Baukon_alle_A4_join[[#This Row],[Transportdistanz.Voreinstellung]]*Baukon_alle_A4_join[[#This Row],[Masse '[kg/m²'] Referenz]]</f>
        <v>0.13740952131003048</v>
      </c>
      <c r="O5" s="132">
        <f>_xlfn.XLOOKUP(Baukon_alle_A4_join[[#This Row],[Transport.Transport-Modus]],LeitRess_Materialien[Name],LeitRess_Materialien[RMI '[kg Primärrohstoffe / kg']])*Baukon_alle_A4_join[[#This Row],[Transportdistanz.Voreinstellung]]*Baukon_alle_A4_join[[#This Row],[Masse '[kg/m²'] min]]</f>
        <v>0.13740952131003048</v>
      </c>
      <c r="P5" s="132">
        <f>_xlfn.XLOOKUP(Baukon_alle_A4_join[[#This Row],[Transport.Transport-Modus]],LeitRess_Materialien[Name],LeitRess_Materialien[RMI '[kg Primärrohstoffe / kg']])*Baukon_alle_A4_join[[#This Row],[Transportdistanz.Voreinstellung]]*Baukon_alle_A4_join[[#This Row],[Masse '[kg/m²'] max]]</f>
        <v>0.13740952131003048</v>
      </c>
      <c r="Q5" s="132">
        <f>_xlfn.XLOOKUP(Baukon_alle_A4_join[[#This Row],[Transport.Transport-Modus]],LeitRess_Materialien[Name],LeitRess_Materialien[TMR '[kg Gesamtmaterialaufwand/kg']])*Baukon_alle_A4_join[[#This Row],[Transportdistanz.Voreinstellung]]*Baukon_alle_A4_join[[#This Row],[Masse '[kg/m²'] Referenz]]</f>
        <v>0.16377111204239284</v>
      </c>
      <c r="R5" s="132">
        <f>_xlfn.XLOOKUP(Baukon_alle_A4_join[[#This Row],[Transport.Transport-Modus]],LeitRess_Materialien[Name],LeitRess_Materialien[TMR '[kg Gesamtmaterialaufwand/kg']])*Baukon_alle_A4_join[[#This Row],[Transportdistanz.Voreinstellung]]*Baukon_alle_A4_join[[#This Row],[Masse '[kg/m²'] min]]</f>
        <v>0.16377111204239284</v>
      </c>
      <c r="S5" s="132">
        <f>_xlfn.XLOOKUP(Baukon_alle_A4_join[[#This Row],[Transport.Transport-Modus]],LeitRess_Materialien[Name],LeitRess_Materialien[TMR '[kg Gesamtmaterialaufwand/kg']])*Baukon_alle_A4_join[[#This Row],[Transportdistanz.Voreinstellung]]*Baukon_alle_A4_join[[#This Row],[Masse '[kg/m²'] max]]</f>
        <v>0.16377111204239284</v>
      </c>
      <c r="T5" s="132">
        <f>_xlfn.XLOOKUP(Baukon_alle_A4_join[[#This Row],[Transport.Transport-Modus]],LeitRess_Materialien[Name],LeitRess_Materialien[GWP '[kg CO2-Äqu./kg']])*Baukon_alle_A4_join[[#This Row],[Transportdistanz.Voreinstellung]]*Baukon_alle_A4_join[[#This Row],[Masse '[kg/m²'] Referenz]]</f>
        <v>0.15244588644954243</v>
      </c>
      <c r="U5" s="132">
        <f>_xlfn.XLOOKUP(Baukon_alle_A4_join[[#This Row],[Transport.Transport-Modus]],LeitRess_Materialien[Name],LeitRess_Materialien[GWP '[kg CO2-Äqu./kg']])*Baukon_alle_A4_join[[#This Row],[Transportdistanz.Voreinstellung]]*Baukon_alle_A4_join[[#This Row],[Masse '[kg/m²'] min]]</f>
        <v>0.15244588644954243</v>
      </c>
      <c r="V5" s="132">
        <f>_xlfn.XLOOKUP(Baukon_alle_A4_join[[#This Row],[Transport.Transport-Modus]],LeitRess_Materialien[Name],LeitRess_Materialien[GWP '[kg CO2-Äqu./kg']])*Baukon_alle_A4_join[[#This Row],[Transportdistanz.Voreinstellung]]*Baukon_alle_A4_join[[#This Row],[Masse '[kg/m²'] max]]</f>
        <v>0.15244588644954243</v>
      </c>
      <c r="W5" s="132">
        <f>_xlfn.XLOOKUP(Baukon_alle_A4_join[[#This Row],[Transport.Transport-Modus]],LeitRess_Materialien[Name],LeitRess_Materialien[PENRT '[MJ/kg']])*Baukon_alle_A4_join[[#This Row],[Transportdistanz.Voreinstellung]]*Baukon_alle_A4_join[[#This Row],[Masse '[kg/m²'] Referenz]]</f>
        <v>0.95114636504999994</v>
      </c>
      <c r="X5" s="132">
        <f>_xlfn.XLOOKUP(Baukon_alle_A4_join[[#This Row],[Transport.Transport-Modus]],LeitRess_Materialien[Name],LeitRess_Materialien[PENRT '[MJ/kg']])*Baukon_alle_A4_join[[#This Row],[Transportdistanz.Voreinstellung]]*Baukon_alle_A4_join[[#This Row],[Masse '[kg/m²'] min]]</f>
        <v>0.95114636504999994</v>
      </c>
      <c r="Y5" s="132">
        <f>_xlfn.XLOOKUP(Baukon_alle_A4_join[[#This Row],[Transport.Transport-Modus]],LeitRess_Materialien[Name],LeitRess_Materialien[PENRT '[MJ/kg']])*Baukon_alle_A4_join[[#This Row],[Transportdistanz.Voreinstellung]]*Baukon_alle_A4_join[[#This Row],[Masse '[kg/m²'] max]]</f>
        <v>0.95114636504999994</v>
      </c>
      <c r="Z5" s="132">
        <f>_xlfn.XLOOKUP(Baukon_alle_A4_join[[#This Row],[Transport.Transport-Modus]],LeitRess_Materialien[Name],LeitRess_Materialien[WDP '[m³ weighted water/kg']])*Baukon_alle_A4_join[[#This Row],[Transportdistanz.Voreinstellung]]*Baukon_alle_A4_join[[#This Row],[Masse '[kg/m²'] Referenz]]</f>
        <v>1.0344109462321477E-2</v>
      </c>
      <c r="AA5" s="132">
        <f>_xlfn.XLOOKUP(Baukon_alle_A4_join[[#This Row],[Transport.Transport-Modus]],LeitRess_Materialien[Name],LeitRess_Materialien[WDP '[m³ weighted water/kg']])*Baukon_alle_A4_join[[#This Row],[Transportdistanz.Voreinstellung]]*Baukon_alle_A4_join[[#This Row],[Masse '[kg/m²'] min]]</f>
        <v>1.0344109462321477E-2</v>
      </c>
      <c r="AB5" s="132">
        <f>_xlfn.XLOOKUP(Baukon_alle_A4_join[[#This Row],[Transport.Transport-Modus]],LeitRess_Materialien[Name],LeitRess_Materialien[WDP '[m³ weighted water/kg']])*Baukon_alle_A4_join[[#This Row],[Transportdistanz.Voreinstellung]]*Baukon_alle_A4_join[[#This Row],[Masse '[kg/m²'] max]]</f>
        <v>1.0344109462321477E-2</v>
      </c>
      <c r="AC5"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2.5327822570156801E-5</v>
      </c>
      <c r="AD5"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2.5327822570156801E-5</v>
      </c>
      <c r="AE5"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2.5327822570156801E-5</v>
      </c>
    </row>
    <row r="6" spans="1:31" x14ac:dyDescent="0.45">
      <c r="A6" t="s">
        <v>87</v>
      </c>
      <c r="B6" t="s">
        <v>311</v>
      </c>
      <c r="C6" t="s">
        <v>312</v>
      </c>
      <c r="D6" t="s">
        <v>97</v>
      </c>
      <c r="E6" t="s">
        <v>310</v>
      </c>
      <c r="F6" t="s">
        <v>252</v>
      </c>
      <c r="G6">
        <v>15.75</v>
      </c>
      <c r="H6">
        <v>15.75</v>
      </c>
      <c r="I6">
        <v>15.75</v>
      </c>
      <c r="K6" t="s">
        <v>17</v>
      </c>
      <c r="L6" t="s">
        <v>305</v>
      </c>
      <c r="M6" t="s">
        <v>253</v>
      </c>
      <c r="N6" s="132">
        <f>_xlfn.XLOOKUP(Baukon_alle_A4_join[[#This Row],[Transport.Transport-Modus]],LeitRess_Materialien[Name],LeitRess_Materialien[RMI '[kg Primärrohstoffe / kg']])*Baukon_alle_A4_join[[#This Row],[Transportdistanz.Voreinstellung]]*Baukon_alle_A4_join[[#This Row],[Masse '[kg/m²'] Referenz]]</f>
        <v>0.13740952131003048</v>
      </c>
      <c r="O6" s="132">
        <f>_xlfn.XLOOKUP(Baukon_alle_A4_join[[#This Row],[Transport.Transport-Modus]],LeitRess_Materialien[Name],LeitRess_Materialien[RMI '[kg Primärrohstoffe / kg']])*Baukon_alle_A4_join[[#This Row],[Transportdistanz.Voreinstellung]]*Baukon_alle_A4_join[[#This Row],[Masse '[kg/m²'] min]]</f>
        <v>0.13740952131003048</v>
      </c>
      <c r="P6" s="132">
        <f>_xlfn.XLOOKUP(Baukon_alle_A4_join[[#This Row],[Transport.Transport-Modus]],LeitRess_Materialien[Name],LeitRess_Materialien[RMI '[kg Primärrohstoffe / kg']])*Baukon_alle_A4_join[[#This Row],[Transportdistanz.Voreinstellung]]*Baukon_alle_A4_join[[#This Row],[Masse '[kg/m²'] max]]</f>
        <v>0.13740952131003048</v>
      </c>
      <c r="Q6" s="132">
        <f>_xlfn.XLOOKUP(Baukon_alle_A4_join[[#This Row],[Transport.Transport-Modus]],LeitRess_Materialien[Name],LeitRess_Materialien[TMR '[kg Gesamtmaterialaufwand/kg']])*Baukon_alle_A4_join[[#This Row],[Transportdistanz.Voreinstellung]]*Baukon_alle_A4_join[[#This Row],[Masse '[kg/m²'] Referenz]]</f>
        <v>0.16377111204239284</v>
      </c>
      <c r="R6" s="132">
        <f>_xlfn.XLOOKUP(Baukon_alle_A4_join[[#This Row],[Transport.Transport-Modus]],LeitRess_Materialien[Name],LeitRess_Materialien[TMR '[kg Gesamtmaterialaufwand/kg']])*Baukon_alle_A4_join[[#This Row],[Transportdistanz.Voreinstellung]]*Baukon_alle_A4_join[[#This Row],[Masse '[kg/m²'] min]]</f>
        <v>0.16377111204239284</v>
      </c>
      <c r="S6" s="132">
        <f>_xlfn.XLOOKUP(Baukon_alle_A4_join[[#This Row],[Transport.Transport-Modus]],LeitRess_Materialien[Name],LeitRess_Materialien[TMR '[kg Gesamtmaterialaufwand/kg']])*Baukon_alle_A4_join[[#This Row],[Transportdistanz.Voreinstellung]]*Baukon_alle_A4_join[[#This Row],[Masse '[kg/m²'] max]]</f>
        <v>0.16377111204239284</v>
      </c>
      <c r="T6" s="132">
        <f>_xlfn.XLOOKUP(Baukon_alle_A4_join[[#This Row],[Transport.Transport-Modus]],LeitRess_Materialien[Name],LeitRess_Materialien[GWP '[kg CO2-Äqu./kg']])*Baukon_alle_A4_join[[#This Row],[Transportdistanz.Voreinstellung]]*Baukon_alle_A4_join[[#This Row],[Masse '[kg/m²'] Referenz]]</f>
        <v>0.15244588644954243</v>
      </c>
      <c r="U6" s="132">
        <f>_xlfn.XLOOKUP(Baukon_alle_A4_join[[#This Row],[Transport.Transport-Modus]],LeitRess_Materialien[Name],LeitRess_Materialien[GWP '[kg CO2-Äqu./kg']])*Baukon_alle_A4_join[[#This Row],[Transportdistanz.Voreinstellung]]*Baukon_alle_A4_join[[#This Row],[Masse '[kg/m²'] min]]</f>
        <v>0.15244588644954243</v>
      </c>
      <c r="V6" s="132">
        <f>_xlfn.XLOOKUP(Baukon_alle_A4_join[[#This Row],[Transport.Transport-Modus]],LeitRess_Materialien[Name],LeitRess_Materialien[GWP '[kg CO2-Äqu./kg']])*Baukon_alle_A4_join[[#This Row],[Transportdistanz.Voreinstellung]]*Baukon_alle_A4_join[[#This Row],[Masse '[kg/m²'] max]]</f>
        <v>0.15244588644954243</v>
      </c>
      <c r="W6" s="132">
        <f>_xlfn.XLOOKUP(Baukon_alle_A4_join[[#This Row],[Transport.Transport-Modus]],LeitRess_Materialien[Name],LeitRess_Materialien[PENRT '[MJ/kg']])*Baukon_alle_A4_join[[#This Row],[Transportdistanz.Voreinstellung]]*Baukon_alle_A4_join[[#This Row],[Masse '[kg/m²'] Referenz]]</f>
        <v>0.95114636504999994</v>
      </c>
      <c r="X6" s="132">
        <f>_xlfn.XLOOKUP(Baukon_alle_A4_join[[#This Row],[Transport.Transport-Modus]],LeitRess_Materialien[Name],LeitRess_Materialien[PENRT '[MJ/kg']])*Baukon_alle_A4_join[[#This Row],[Transportdistanz.Voreinstellung]]*Baukon_alle_A4_join[[#This Row],[Masse '[kg/m²'] min]]</f>
        <v>0.95114636504999994</v>
      </c>
      <c r="Y6" s="132">
        <f>_xlfn.XLOOKUP(Baukon_alle_A4_join[[#This Row],[Transport.Transport-Modus]],LeitRess_Materialien[Name],LeitRess_Materialien[PENRT '[MJ/kg']])*Baukon_alle_A4_join[[#This Row],[Transportdistanz.Voreinstellung]]*Baukon_alle_A4_join[[#This Row],[Masse '[kg/m²'] max]]</f>
        <v>0.95114636504999994</v>
      </c>
      <c r="Z6" s="132">
        <f>_xlfn.XLOOKUP(Baukon_alle_A4_join[[#This Row],[Transport.Transport-Modus]],LeitRess_Materialien[Name],LeitRess_Materialien[WDP '[m³ weighted water/kg']])*Baukon_alle_A4_join[[#This Row],[Transportdistanz.Voreinstellung]]*Baukon_alle_A4_join[[#This Row],[Masse '[kg/m²'] Referenz]]</f>
        <v>1.0344109462321477E-2</v>
      </c>
      <c r="AA6" s="132">
        <f>_xlfn.XLOOKUP(Baukon_alle_A4_join[[#This Row],[Transport.Transport-Modus]],LeitRess_Materialien[Name],LeitRess_Materialien[WDP '[m³ weighted water/kg']])*Baukon_alle_A4_join[[#This Row],[Transportdistanz.Voreinstellung]]*Baukon_alle_A4_join[[#This Row],[Masse '[kg/m²'] min]]</f>
        <v>1.0344109462321477E-2</v>
      </c>
      <c r="AB6" s="132">
        <f>_xlfn.XLOOKUP(Baukon_alle_A4_join[[#This Row],[Transport.Transport-Modus]],LeitRess_Materialien[Name],LeitRess_Materialien[WDP '[m³ weighted water/kg']])*Baukon_alle_A4_join[[#This Row],[Transportdistanz.Voreinstellung]]*Baukon_alle_A4_join[[#This Row],[Masse '[kg/m²'] max]]</f>
        <v>1.0344109462321477E-2</v>
      </c>
      <c r="AC6"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2.5327822570156801E-5</v>
      </c>
      <c r="AD6"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2.5327822570156801E-5</v>
      </c>
      <c r="AE6"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2.5327822570156801E-5</v>
      </c>
    </row>
    <row r="7" spans="1:31" x14ac:dyDescent="0.45">
      <c r="A7" t="s">
        <v>87</v>
      </c>
      <c r="B7" t="s">
        <v>308</v>
      </c>
      <c r="C7" t="s">
        <v>313</v>
      </c>
      <c r="D7" t="s">
        <v>93</v>
      </c>
      <c r="E7" t="s">
        <v>310</v>
      </c>
      <c r="F7" t="s">
        <v>252</v>
      </c>
      <c r="G7">
        <v>15.75</v>
      </c>
      <c r="H7">
        <v>15.75</v>
      </c>
      <c r="I7">
        <v>15.75</v>
      </c>
      <c r="K7" t="s">
        <v>17</v>
      </c>
      <c r="L7" t="s">
        <v>305</v>
      </c>
      <c r="M7" t="s">
        <v>253</v>
      </c>
      <c r="N7" s="132">
        <f>_xlfn.XLOOKUP(Baukon_alle_A4_join[[#This Row],[Transport.Transport-Modus]],LeitRess_Materialien[Name],LeitRess_Materialien[RMI '[kg Primärrohstoffe / kg']])*Baukon_alle_A4_join[[#This Row],[Transportdistanz.Voreinstellung]]*Baukon_alle_A4_join[[#This Row],[Masse '[kg/m²'] Referenz]]</f>
        <v>0.13740952131003048</v>
      </c>
      <c r="O7" s="132">
        <f>_xlfn.XLOOKUP(Baukon_alle_A4_join[[#This Row],[Transport.Transport-Modus]],LeitRess_Materialien[Name],LeitRess_Materialien[RMI '[kg Primärrohstoffe / kg']])*Baukon_alle_A4_join[[#This Row],[Transportdistanz.Voreinstellung]]*Baukon_alle_A4_join[[#This Row],[Masse '[kg/m²'] min]]</f>
        <v>0.13740952131003048</v>
      </c>
      <c r="P7" s="132">
        <f>_xlfn.XLOOKUP(Baukon_alle_A4_join[[#This Row],[Transport.Transport-Modus]],LeitRess_Materialien[Name],LeitRess_Materialien[RMI '[kg Primärrohstoffe / kg']])*Baukon_alle_A4_join[[#This Row],[Transportdistanz.Voreinstellung]]*Baukon_alle_A4_join[[#This Row],[Masse '[kg/m²'] max]]</f>
        <v>0.13740952131003048</v>
      </c>
      <c r="Q7" s="132">
        <f>_xlfn.XLOOKUP(Baukon_alle_A4_join[[#This Row],[Transport.Transport-Modus]],LeitRess_Materialien[Name],LeitRess_Materialien[TMR '[kg Gesamtmaterialaufwand/kg']])*Baukon_alle_A4_join[[#This Row],[Transportdistanz.Voreinstellung]]*Baukon_alle_A4_join[[#This Row],[Masse '[kg/m²'] Referenz]]</f>
        <v>0.16377111204239284</v>
      </c>
      <c r="R7" s="132">
        <f>_xlfn.XLOOKUP(Baukon_alle_A4_join[[#This Row],[Transport.Transport-Modus]],LeitRess_Materialien[Name],LeitRess_Materialien[TMR '[kg Gesamtmaterialaufwand/kg']])*Baukon_alle_A4_join[[#This Row],[Transportdistanz.Voreinstellung]]*Baukon_alle_A4_join[[#This Row],[Masse '[kg/m²'] min]]</f>
        <v>0.16377111204239284</v>
      </c>
      <c r="S7" s="132">
        <f>_xlfn.XLOOKUP(Baukon_alle_A4_join[[#This Row],[Transport.Transport-Modus]],LeitRess_Materialien[Name],LeitRess_Materialien[TMR '[kg Gesamtmaterialaufwand/kg']])*Baukon_alle_A4_join[[#This Row],[Transportdistanz.Voreinstellung]]*Baukon_alle_A4_join[[#This Row],[Masse '[kg/m²'] max]]</f>
        <v>0.16377111204239284</v>
      </c>
      <c r="T7" s="132">
        <f>_xlfn.XLOOKUP(Baukon_alle_A4_join[[#This Row],[Transport.Transport-Modus]],LeitRess_Materialien[Name],LeitRess_Materialien[GWP '[kg CO2-Äqu./kg']])*Baukon_alle_A4_join[[#This Row],[Transportdistanz.Voreinstellung]]*Baukon_alle_A4_join[[#This Row],[Masse '[kg/m²'] Referenz]]</f>
        <v>0.15244588644954243</v>
      </c>
      <c r="U7" s="132">
        <f>_xlfn.XLOOKUP(Baukon_alle_A4_join[[#This Row],[Transport.Transport-Modus]],LeitRess_Materialien[Name],LeitRess_Materialien[GWP '[kg CO2-Äqu./kg']])*Baukon_alle_A4_join[[#This Row],[Transportdistanz.Voreinstellung]]*Baukon_alle_A4_join[[#This Row],[Masse '[kg/m²'] min]]</f>
        <v>0.15244588644954243</v>
      </c>
      <c r="V7" s="132">
        <f>_xlfn.XLOOKUP(Baukon_alle_A4_join[[#This Row],[Transport.Transport-Modus]],LeitRess_Materialien[Name],LeitRess_Materialien[GWP '[kg CO2-Äqu./kg']])*Baukon_alle_A4_join[[#This Row],[Transportdistanz.Voreinstellung]]*Baukon_alle_A4_join[[#This Row],[Masse '[kg/m²'] max]]</f>
        <v>0.15244588644954243</v>
      </c>
      <c r="W7" s="132">
        <f>_xlfn.XLOOKUP(Baukon_alle_A4_join[[#This Row],[Transport.Transport-Modus]],LeitRess_Materialien[Name],LeitRess_Materialien[PENRT '[MJ/kg']])*Baukon_alle_A4_join[[#This Row],[Transportdistanz.Voreinstellung]]*Baukon_alle_A4_join[[#This Row],[Masse '[kg/m²'] Referenz]]</f>
        <v>0.95114636504999994</v>
      </c>
      <c r="X7" s="132">
        <f>_xlfn.XLOOKUP(Baukon_alle_A4_join[[#This Row],[Transport.Transport-Modus]],LeitRess_Materialien[Name],LeitRess_Materialien[PENRT '[MJ/kg']])*Baukon_alle_A4_join[[#This Row],[Transportdistanz.Voreinstellung]]*Baukon_alle_A4_join[[#This Row],[Masse '[kg/m²'] min]]</f>
        <v>0.95114636504999994</v>
      </c>
      <c r="Y7" s="132">
        <f>_xlfn.XLOOKUP(Baukon_alle_A4_join[[#This Row],[Transport.Transport-Modus]],LeitRess_Materialien[Name],LeitRess_Materialien[PENRT '[MJ/kg']])*Baukon_alle_A4_join[[#This Row],[Transportdistanz.Voreinstellung]]*Baukon_alle_A4_join[[#This Row],[Masse '[kg/m²'] max]]</f>
        <v>0.95114636504999994</v>
      </c>
      <c r="Z7" s="132">
        <f>_xlfn.XLOOKUP(Baukon_alle_A4_join[[#This Row],[Transport.Transport-Modus]],LeitRess_Materialien[Name],LeitRess_Materialien[WDP '[m³ weighted water/kg']])*Baukon_alle_A4_join[[#This Row],[Transportdistanz.Voreinstellung]]*Baukon_alle_A4_join[[#This Row],[Masse '[kg/m²'] Referenz]]</f>
        <v>1.0344109462321477E-2</v>
      </c>
      <c r="AA7" s="132">
        <f>_xlfn.XLOOKUP(Baukon_alle_A4_join[[#This Row],[Transport.Transport-Modus]],LeitRess_Materialien[Name],LeitRess_Materialien[WDP '[m³ weighted water/kg']])*Baukon_alle_A4_join[[#This Row],[Transportdistanz.Voreinstellung]]*Baukon_alle_A4_join[[#This Row],[Masse '[kg/m²'] min]]</f>
        <v>1.0344109462321477E-2</v>
      </c>
      <c r="AB7" s="132">
        <f>_xlfn.XLOOKUP(Baukon_alle_A4_join[[#This Row],[Transport.Transport-Modus]],LeitRess_Materialien[Name],LeitRess_Materialien[WDP '[m³ weighted water/kg']])*Baukon_alle_A4_join[[#This Row],[Transportdistanz.Voreinstellung]]*Baukon_alle_A4_join[[#This Row],[Masse '[kg/m²'] max]]</f>
        <v>1.0344109462321477E-2</v>
      </c>
      <c r="AC7"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2.5327822570156801E-5</v>
      </c>
      <c r="AD7"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2.5327822570156801E-5</v>
      </c>
      <c r="AE7"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2.5327822570156801E-5</v>
      </c>
    </row>
    <row r="8" spans="1:31" x14ac:dyDescent="0.45">
      <c r="A8" t="s">
        <v>87</v>
      </c>
      <c r="B8" t="s">
        <v>308</v>
      </c>
      <c r="C8" t="s">
        <v>314</v>
      </c>
      <c r="D8" t="s">
        <v>96</v>
      </c>
      <c r="E8" t="s">
        <v>310</v>
      </c>
      <c r="F8" t="s">
        <v>252</v>
      </c>
      <c r="G8">
        <v>15.75</v>
      </c>
      <c r="H8">
        <v>15.75</v>
      </c>
      <c r="I8">
        <v>15.75</v>
      </c>
      <c r="K8" t="s">
        <v>17</v>
      </c>
      <c r="L8" t="s">
        <v>305</v>
      </c>
      <c r="M8" t="s">
        <v>253</v>
      </c>
      <c r="N8" s="132">
        <f>_xlfn.XLOOKUP(Baukon_alle_A4_join[[#This Row],[Transport.Transport-Modus]],LeitRess_Materialien[Name],LeitRess_Materialien[RMI '[kg Primärrohstoffe / kg']])*Baukon_alle_A4_join[[#This Row],[Transportdistanz.Voreinstellung]]*Baukon_alle_A4_join[[#This Row],[Masse '[kg/m²'] Referenz]]</f>
        <v>0.13740952131003048</v>
      </c>
      <c r="O8" s="132">
        <f>_xlfn.XLOOKUP(Baukon_alle_A4_join[[#This Row],[Transport.Transport-Modus]],LeitRess_Materialien[Name],LeitRess_Materialien[RMI '[kg Primärrohstoffe / kg']])*Baukon_alle_A4_join[[#This Row],[Transportdistanz.Voreinstellung]]*Baukon_alle_A4_join[[#This Row],[Masse '[kg/m²'] min]]</f>
        <v>0.13740952131003048</v>
      </c>
      <c r="P8" s="132">
        <f>_xlfn.XLOOKUP(Baukon_alle_A4_join[[#This Row],[Transport.Transport-Modus]],LeitRess_Materialien[Name],LeitRess_Materialien[RMI '[kg Primärrohstoffe / kg']])*Baukon_alle_A4_join[[#This Row],[Transportdistanz.Voreinstellung]]*Baukon_alle_A4_join[[#This Row],[Masse '[kg/m²'] max]]</f>
        <v>0.13740952131003048</v>
      </c>
      <c r="Q8" s="132">
        <f>_xlfn.XLOOKUP(Baukon_alle_A4_join[[#This Row],[Transport.Transport-Modus]],LeitRess_Materialien[Name],LeitRess_Materialien[TMR '[kg Gesamtmaterialaufwand/kg']])*Baukon_alle_A4_join[[#This Row],[Transportdistanz.Voreinstellung]]*Baukon_alle_A4_join[[#This Row],[Masse '[kg/m²'] Referenz]]</f>
        <v>0.16377111204239284</v>
      </c>
      <c r="R8" s="132">
        <f>_xlfn.XLOOKUP(Baukon_alle_A4_join[[#This Row],[Transport.Transport-Modus]],LeitRess_Materialien[Name],LeitRess_Materialien[TMR '[kg Gesamtmaterialaufwand/kg']])*Baukon_alle_A4_join[[#This Row],[Transportdistanz.Voreinstellung]]*Baukon_alle_A4_join[[#This Row],[Masse '[kg/m²'] min]]</f>
        <v>0.16377111204239284</v>
      </c>
      <c r="S8" s="132">
        <f>_xlfn.XLOOKUP(Baukon_alle_A4_join[[#This Row],[Transport.Transport-Modus]],LeitRess_Materialien[Name],LeitRess_Materialien[TMR '[kg Gesamtmaterialaufwand/kg']])*Baukon_alle_A4_join[[#This Row],[Transportdistanz.Voreinstellung]]*Baukon_alle_A4_join[[#This Row],[Masse '[kg/m²'] max]]</f>
        <v>0.16377111204239284</v>
      </c>
      <c r="T8" s="132">
        <f>_xlfn.XLOOKUP(Baukon_alle_A4_join[[#This Row],[Transport.Transport-Modus]],LeitRess_Materialien[Name],LeitRess_Materialien[GWP '[kg CO2-Äqu./kg']])*Baukon_alle_A4_join[[#This Row],[Transportdistanz.Voreinstellung]]*Baukon_alle_A4_join[[#This Row],[Masse '[kg/m²'] Referenz]]</f>
        <v>0.15244588644954243</v>
      </c>
      <c r="U8" s="132">
        <f>_xlfn.XLOOKUP(Baukon_alle_A4_join[[#This Row],[Transport.Transport-Modus]],LeitRess_Materialien[Name],LeitRess_Materialien[GWP '[kg CO2-Äqu./kg']])*Baukon_alle_A4_join[[#This Row],[Transportdistanz.Voreinstellung]]*Baukon_alle_A4_join[[#This Row],[Masse '[kg/m²'] min]]</f>
        <v>0.15244588644954243</v>
      </c>
      <c r="V8" s="132">
        <f>_xlfn.XLOOKUP(Baukon_alle_A4_join[[#This Row],[Transport.Transport-Modus]],LeitRess_Materialien[Name],LeitRess_Materialien[GWP '[kg CO2-Äqu./kg']])*Baukon_alle_A4_join[[#This Row],[Transportdistanz.Voreinstellung]]*Baukon_alle_A4_join[[#This Row],[Masse '[kg/m²'] max]]</f>
        <v>0.15244588644954243</v>
      </c>
      <c r="W8" s="132">
        <f>_xlfn.XLOOKUP(Baukon_alle_A4_join[[#This Row],[Transport.Transport-Modus]],LeitRess_Materialien[Name],LeitRess_Materialien[PENRT '[MJ/kg']])*Baukon_alle_A4_join[[#This Row],[Transportdistanz.Voreinstellung]]*Baukon_alle_A4_join[[#This Row],[Masse '[kg/m²'] Referenz]]</f>
        <v>0.95114636504999994</v>
      </c>
      <c r="X8" s="132">
        <f>_xlfn.XLOOKUP(Baukon_alle_A4_join[[#This Row],[Transport.Transport-Modus]],LeitRess_Materialien[Name],LeitRess_Materialien[PENRT '[MJ/kg']])*Baukon_alle_A4_join[[#This Row],[Transportdistanz.Voreinstellung]]*Baukon_alle_A4_join[[#This Row],[Masse '[kg/m²'] min]]</f>
        <v>0.95114636504999994</v>
      </c>
      <c r="Y8" s="132">
        <f>_xlfn.XLOOKUP(Baukon_alle_A4_join[[#This Row],[Transport.Transport-Modus]],LeitRess_Materialien[Name],LeitRess_Materialien[PENRT '[MJ/kg']])*Baukon_alle_A4_join[[#This Row],[Transportdistanz.Voreinstellung]]*Baukon_alle_A4_join[[#This Row],[Masse '[kg/m²'] max]]</f>
        <v>0.95114636504999994</v>
      </c>
      <c r="Z8" s="132">
        <f>_xlfn.XLOOKUP(Baukon_alle_A4_join[[#This Row],[Transport.Transport-Modus]],LeitRess_Materialien[Name],LeitRess_Materialien[WDP '[m³ weighted water/kg']])*Baukon_alle_A4_join[[#This Row],[Transportdistanz.Voreinstellung]]*Baukon_alle_A4_join[[#This Row],[Masse '[kg/m²'] Referenz]]</f>
        <v>1.0344109462321477E-2</v>
      </c>
      <c r="AA8" s="132">
        <f>_xlfn.XLOOKUP(Baukon_alle_A4_join[[#This Row],[Transport.Transport-Modus]],LeitRess_Materialien[Name],LeitRess_Materialien[WDP '[m³ weighted water/kg']])*Baukon_alle_A4_join[[#This Row],[Transportdistanz.Voreinstellung]]*Baukon_alle_A4_join[[#This Row],[Masse '[kg/m²'] min]]</f>
        <v>1.0344109462321477E-2</v>
      </c>
      <c r="AB8" s="132">
        <f>_xlfn.XLOOKUP(Baukon_alle_A4_join[[#This Row],[Transport.Transport-Modus]],LeitRess_Materialien[Name],LeitRess_Materialien[WDP '[m³ weighted water/kg']])*Baukon_alle_A4_join[[#This Row],[Transportdistanz.Voreinstellung]]*Baukon_alle_A4_join[[#This Row],[Masse '[kg/m²'] max]]</f>
        <v>1.0344109462321477E-2</v>
      </c>
      <c r="AC8"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2.5327822570156801E-5</v>
      </c>
      <c r="AD8"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2.5327822570156801E-5</v>
      </c>
      <c r="AE8"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2.5327822570156801E-5</v>
      </c>
    </row>
    <row r="9" spans="1:31" x14ac:dyDescent="0.45">
      <c r="A9" t="s">
        <v>87</v>
      </c>
      <c r="B9" t="s">
        <v>315</v>
      </c>
      <c r="C9" t="s">
        <v>10</v>
      </c>
      <c r="D9" t="s">
        <v>99</v>
      </c>
      <c r="E9" t="s">
        <v>310</v>
      </c>
      <c r="F9" t="s">
        <v>252</v>
      </c>
      <c r="G9">
        <v>15.75</v>
      </c>
      <c r="H9">
        <v>15.75</v>
      </c>
      <c r="I9">
        <v>15.75</v>
      </c>
      <c r="K9" t="s">
        <v>17</v>
      </c>
      <c r="L9" t="s">
        <v>305</v>
      </c>
      <c r="M9" t="s">
        <v>253</v>
      </c>
      <c r="N9" s="132">
        <f>_xlfn.XLOOKUP(Baukon_alle_A4_join[[#This Row],[Transport.Transport-Modus]],LeitRess_Materialien[Name],LeitRess_Materialien[RMI '[kg Primärrohstoffe / kg']])*Baukon_alle_A4_join[[#This Row],[Transportdistanz.Voreinstellung]]*Baukon_alle_A4_join[[#This Row],[Masse '[kg/m²'] Referenz]]</f>
        <v>0.13740952131003048</v>
      </c>
      <c r="O9" s="132">
        <f>_xlfn.XLOOKUP(Baukon_alle_A4_join[[#This Row],[Transport.Transport-Modus]],LeitRess_Materialien[Name],LeitRess_Materialien[RMI '[kg Primärrohstoffe / kg']])*Baukon_alle_A4_join[[#This Row],[Transportdistanz.Voreinstellung]]*Baukon_alle_A4_join[[#This Row],[Masse '[kg/m²'] min]]</f>
        <v>0.13740952131003048</v>
      </c>
      <c r="P9" s="132">
        <f>_xlfn.XLOOKUP(Baukon_alle_A4_join[[#This Row],[Transport.Transport-Modus]],LeitRess_Materialien[Name],LeitRess_Materialien[RMI '[kg Primärrohstoffe / kg']])*Baukon_alle_A4_join[[#This Row],[Transportdistanz.Voreinstellung]]*Baukon_alle_A4_join[[#This Row],[Masse '[kg/m²'] max]]</f>
        <v>0.13740952131003048</v>
      </c>
      <c r="Q9" s="132">
        <f>_xlfn.XLOOKUP(Baukon_alle_A4_join[[#This Row],[Transport.Transport-Modus]],LeitRess_Materialien[Name],LeitRess_Materialien[TMR '[kg Gesamtmaterialaufwand/kg']])*Baukon_alle_A4_join[[#This Row],[Transportdistanz.Voreinstellung]]*Baukon_alle_A4_join[[#This Row],[Masse '[kg/m²'] Referenz]]</f>
        <v>0.16377111204239284</v>
      </c>
      <c r="R9" s="132">
        <f>_xlfn.XLOOKUP(Baukon_alle_A4_join[[#This Row],[Transport.Transport-Modus]],LeitRess_Materialien[Name],LeitRess_Materialien[TMR '[kg Gesamtmaterialaufwand/kg']])*Baukon_alle_A4_join[[#This Row],[Transportdistanz.Voreinstellung]]*Baukon_alle_A4_join[[#This Row],[Masse '[kg/m²'] min]]</f>
        <v>0.16377111204239284</v>
      </c>
      <c r="S9" s="132">
        <f>_xlfn.XLOOKUP(Baukon_alle_A4_join[[#This Row],[Transport.Transport-Modus]],LeitRess_Materialien[Name],LeitRess_Materialien[TMR '[kg Gesamtmaterialaufwand/kg']])*Baukon_alle_A4_join[[#This Row],[Transportdistanz.Voreinstellung]]*Baukon_alle_A4_join[[#This Row],[Masse '[kg/m²'] max]]</f>
        <v>0.16377111204239284</v>
      </c>
      <c r="T9" s="132">
        <f>_xlfn.XLOOKUP(Baukon_alle_A4_join[[#This Row],[Transport.Transport-Modus]],LeitRess_Materialien[Name],LeitRess_Materialien[GWP '[kg CO2-Äqu./kg']])*Baukon_alle_A4_join[[#This Row],[Transportdistanz.Voreinstellung]]*Baukon_alle_A4_join[[#This Row],[Masse '[kg/m²'] Referenz]]</f>
        <v>0.15244588644954243</v>
      </c>
      <c r="U9" s="132">
        <f>_xlfn.XLOOKUP(Baukon_alle_A4_join[[#This Row],[Transport.Transport-Modus]],LeitRess_Materialien[Name],LeitRess_Materialien[GWP '[kg CO2-Äqu./kg']])*Baukon_alle_A4_join[[#This Row],[Transportdistanz.Voreinstellung]]*Baukon_alle_A4_join[[#This Row],[Masse '[kg/m²'] min]]</f>
        <v>0.15244588644954243</v>
      </c>
      <c r="V9" s="132">
        <f>_xlfn.XLOOKUP(Baukon_alle_A4_join[[#This Row],[Transport.Transport-Modus]],LeitRess_Materialien[Name],LeitRess_Materialien[GWP '[kg CO2-Äqu./kg']])*Baukon_alle_A4_join[[#This Row],[Transportdistanz.Voreinstellung]]*Baukon_alle_A4_join[[#This Row],[Masse '[kg/m²'] max]]</f>
        <v>0.15244588644954243</v>
      </c>
      <c r="W9" s="132">
        <f>_xlfn.XLOOKUP(Baukon_alle_A4_join[[#This Row],[Transport.Transport-Modus]],LeitRess_Materialien[Name],LeitRess_Materialien[PENRT '[MJ/kg']])*Baukon_alle_A4_join[[#This Row],[Transportdistanz.Voreinstellung]]*Baukon_alle_A4_join[[#This Row],[Masse '[kg/m²'] Referenz]]</f>
        <v>0.95114636504999994</v>
      </c>
      <c r="X9" s="132">
        <f>_xlfn.XLOOKUP(Baukon_alle_A4_join[[#This Row],[Transport.Transport-Modus]],LeitRess_Materialien[Name],LeitRess_Materialien[PENRT '[MJ/kg']])*Baukon_alle_A4_join[[#This Row],[Transportdistanz.Voreinstellung]]*Baukon_alle_A4_join[[#This Row],[Masse '[kg/m²'] min]]</f>
        <v>0.95114636504999994</v>
      </c>
      <c r="Y9" s="132">
        <f>_xlfn.XLOOKUP(Baukon_alle_A4_join[[#This Row],[Transport.Transport-Modus]],LeitRess_Materialien[Name],LeitRess_Materialien[PENRT '[MJ/kg']])*Baukon_alle_A4_join[[#This Row],[Transportdistanz.Voreinstellung]]*Baukon_alle_A4_join[[#This Row],[Masse '[kg/m²'] max]]</f>
        <v>0.95114636504999994</v>
      </c>
      <c r="Z9" s="132">
        <f>_xlfn.XLOOKUP(Baukon_alle_A4_join[[#This Row],[Transport.Transport-Modus]],LeitRess_Materialien[Name],LeitRess_Materialien[WDP '[m³ weighted water/kg']])*Baukon_alle_A4_join[[#This Row],[Transportdistanz.Voreinstellung]]*Baukon_alle_A4_join[[#This Row],[Masse '[kg/m²'] Referenz]]</f>
        <v>1.0344109462321477E-2</v>
      </c>
      <c r="AA9" s="132">
        <f>_xlfn.XLOOKUP(Baukon_alle_A4_join[[#This Row],[Transport.Transport-Modus]],LeitRess_Materialien[Name],LeitRess_Materialien[WDP '[m³ weighted water/kg']])*Baukon_alle_A4_join[[#This Row],[Transportdistanz.Voreinstellung]]*Baukon_alle_A4_join[[#This Row],[Masse '[kg/m²'] min]]</f>
        <v>1.0344109462321477E-2</v>
      </c>
      <c r="AB9" s="132">
        <f>_xlfn.XLOOKUP(Baukon_alle_A4_join[[#This Row],[Transport.Transport-Modus]],LeitRess_Materialien[Name],LeitRess_Materialien[WDP '[m³ weighted water/kg']])*Baukon_alle_A4_join[[#This Row],[Transportdistanz.Voreinstellung]]*Baukon_alle_A4_join[[#This Row],[Masse '[kg/m²'] max]]</f>
        <v>1.0344109462321477E-2</v>
      </c>
      <c r="AC9"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2.5327822570156801E-5</v>
      </c>
      <c r="AD9"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2.5327822570156801E-5</v>
      </c>
      <c r="AE9"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2.5327822570156801E-5</v>
      </c>
    </row>
    <row r="10" spans="1:31" x14ac:dyDescent="0.45">
      <c r="A10" t="s">
        <v>87</v>
      </c>
      <c r="B10" t="s">
        <v>316</v>
      </c>
      <c r="C10" t="s">
        <v>312</v>
      </c>
      <c r="D10" t="s">
        <v>101</v>
      </c>
      <c r="E10" t="s">
        <v>310</v>
      </c>
      <c r="F10" t="s">
        <v>252</v>
      </c>
      <c r="G10">
        <v>15.75</v>
      </c>
      <c r="H10">
        <v>15.75</v>
      </c>
      <c r="I10">
        <v>15.75</v>
      </c>
      <c r="K10" t="s">
        <v>17</v>
      </c>
      <c r="L10" t="s">
        <v>305</v>
      </c>
      <c r="M10" t="s">
        <v>253</v>
      </c>
      <c r="N10" s="132">
        <f>_xlfn.XLOOKUP(Baukon_alle_A4_join[[#This Row],[Transport.Transport-Modus]],LeitRess_Materialien[Name],LeitRess_Materialien[RMI '[kg Primärrohstoffe / kg']])*Baukon_alle_A4_join[[#This Row],[Transportdistanz.Voreinstellung]]*Baukon_alle_A4_join[[#This Row],[Masse '[kg/m²'] Referenz]]</f>
        <v>0.13740952131003048</v>
      </c>
      <c r="O10" s="132">
        <f>_xlfn.XLOOKUP(Baukon_alle_A4_join[[#This Row],[Transport.Transport-Modus]],LeitRess_Materialien[Name],LeitRess_Materialien[RMI '[kg Primärrohstoffe / kg']])*Baukon_alle_A4_join[[#This Row],[Transportdistanz.Voreinstellung]]*Baukon_alle_A4_join[[#This Row],[Masse '[kg/m²'] min]]</f>
        <v>0.13740952131003048</v>
      </c>
      <c r="P10" s="132">
        <f>_xlfn.XLOOKUP(Baukon_alle_A4_join[[#This Row],[Transport.Transport-Modus]],LeitRess_Materialien[Name],LeitRess_Materialien[RMI '[kg Primärrohstoffe / kg']])*Baukon_alle_A4_join[[#This Row],[Transportdistanz.Voreinstellung]]*Baukon_alle_A4_join[[#This Row],[Masse '[kg/m²'] max]]</f>
        <v>0.13740952131003048</v>
      </c>
      <c r="Q10" s="132">
        <f>_xlfn.XLOOKUP(Baukon_alle_A4_join[[#This Row],[Transport.Transport-Modus]],LeitRess_Materialien[Name],LeitRess_Materialien[TMR '[kg Gesamtmaterialaufwand/kg']])*Baukon_alle_A4_join[[#This Row],[Transportdistanz.Voreinstellung]]*Baukon_alle_A4_join[[#This Row],[Masse '[kg/m²'] Referenz]]</f>
        <v>0.16377111204239284</v>
      </c>
      <c r="R10" s="132">
        <f>_xlfn.XLOOKUP(Baukon_alle_A4_join[[#This Row],[Transport.Transport-Modus]],LeitRess_Materialien[Name],LeitRess_Materialien[TMR '[kg Gesamtmaterialaufwand/kg']])*Baukon_alle_A4_join[[#This Row],[Transportdistanz.Voreinstellung]]*Baukon_alle_A4_join[[#This Row],[Masse '[kg/m²'] min]]</f>
        <v>0.16377111204239284</v>
      </c>
      <c r="S10" s="132">
        <f>_xlfn.XLOOKUP(Baukon_alle_A4_join[[#This Row],[Transport.Transport-Modus]],LeitRess_Materialien[Name],LeitRess_Materialien[TMR '[kg Gesamtmaterialaufwand/kg']])*Baukon_alle_A4_join[[#This Row],[Transportdistanz.Voreinstellung]]*Baukon_alle_A4_join[[#This Row],[Masse '[kg/m²'] max]]</f>
        <v>0.16377111204239284</v>
      </c>
      <c r="T10" s="132">
        <f>_xlfn.XLOOKUP(Baukon_alle_A4_join[[#This Row],[Transport.Transport-Modus]],LeitRess_Materialien[Name],LeitRess_Materialien[GWP '[kg CO2-Äqu./kg']])*Baukon_alle_A4_join[[#This Row],[Transportdistanz.Voreinstellung]]*Baukon_alle_A4_join[[#This Row],[Masse '[kg/m²'] Referenz]]</f>
        <v>0.15244588644954243</v>
      </c>
      <c r="U10" s="132">
        <f>_xlfn.XLOOKUP(Baukon_alle_A4_join[[#This Row],[Transport.Transport-Modus]],LeitRess_Materialien[Name],LeitRess_Materialien[GWP '[kg CO2-Äqu./kg']])*Baukon_alle_A4_join[[#This Row],[Transportdistanz.Voreinstellung]]*Baukon_alle_A4_join[[#This Row],[Masse '[kg/m²'] min]]</f>
        <v>0.15244588644954243</v>
      </c>
      <c r="V10" s="132">
        <f>_xlfn.XLOOKUP(Baukon_alle_A4_join[[#This Row],[Transport.Transport-Modus]],LeitRess_Materialien[Name],LeitRess_Materialien[GWP '[kg CO2-Äqu./kg']])*Baukon_alle_A4_join[[#This Row],[Transportdistanz.Voreinstellung]]*Baukon_alle_A4_join[[#This Row],[Masse '[kg/m²'] max]]</f>
        <v>0.15244588644954243</v>
      </c>
      <c r="W10" s="132">
        <f>_xlfn.XLOOKUP(Baukon_alle_A4_join[[#This Row],[Transport.Transport-Modus]],LeitRess_Materialien[Name],LeitRess_Materialien[PENRT '[MJ/kg']])*Baukon_alle_A4_join[[#This Row],[Transportdistanz.Voreinstellung]]*Baukon_alle_A4_join[[#This Row],[Masse '[kg/m²'] Referenz]]</f>
        <v>0.95114636504999994</v>
      </c>
      <c r="X10" s="132">
        <f>_xlfn.XLOOKUP(Baukon_alle_A4_join[[#This Row],[Transport.Transport-Modus]],LeitRess_Materialien[Name],LeitRess_Materialien[PENRT '[MJ/kg']])*Baukon_alle_A4_join[[#This Row],[Transportdistanz.Voreinstellung]]*Baukon_alle_A4_join[[#This Row],[Masse '[kg/m²'] min]]</f>
        <v>0.95114636504999994</v>
      </c>
      <c r="Y10" s="132">
        <f>_xlfn.XLOOKUP(Baukon_alle_A4_join[[#This Row],[Transport.Transport-Modus]],LeitRess_Materialien[Name],LeitRess_Materialien[PENRT '[MJ/kg']])*Baukon_alle_A4_join[[#This Row],[Transportdistanz.Voreinstellung]]*Baukon_alle_A4_join[[#This Row],[Masse '[kg/m²'] max]]</f>
        <v>0.95114636504999994</v>
      </c>
      <c r="Z10" s="132">
        <f>_xlfn.XLOOKUP(Baukon_alle_A4_join[[#This Row],[Transport.Transport-Modus]],LeitRess_Materialien[Name],LeitRess_Materialien[WDP '[m³ weighted water/kg']])*Baukon_alle_A4_join[[#This Row],[Transportdistanz.Voreinstellung]]*Baukon_alle_A4_join[[#This Row],[Masse '[kg/m²'] Referenz]]</f>
        <v>1.0344109462321477E-2</v>
      </c>
      <c r="AA10" s="132">
        <f>_xlfn.XLOOKUP(Baukon_alle_A4_join[[#This Row],[Transport.Transport-Modus]],LeitRess_Materialien[Name],LeitRess_Materialien[WDP '[m³ weighted water/kg']])*Baukon_alle_A4_join[[#This Row],[Transportdistanz.Voreinstellung]]*Baukon_alle_A4_join[[#This Row],[Masse '[kg/m²'] min]]</f>
        <v>1.0344109462321477E-2</v>
      </c>
      <c r="AB10" s="132">
        <f>_xlfn.XLOOKUP(Baukon_alle_A4_join[[#This Row],[Transport.Transport-Modus]],LeitRess_Materialien[Name],LeitRess_Materialien[WDP '[m³ weighted water/kg']])*Baukon_alle_A4_join[[#This Row],[Transportdistanz.Voreinstellung]]*Baukon_alle_A4_join[[#This Row],[Masse '[kg/m²'] max]]</f>
        <v>1.0344109462321477E-2</v>
      </c>
      <c r="AC10"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2.5327822570156801E-5</v>
      </c>
      <c r="AD10"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2.5327822570156801E-5</v>
      </c>
      <c r="AE10"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2.5327822570156801E-5</v>
      </c>
    </row>
    <row r="11" spans="1:31" x14ac:dyDescent="0.45">
      <c r="A11" t="s">
        <v>53</v>
      </c>
      <c r="B11" t="s">
        <v>302</v>
      </c>
      <c r="C11" t="s">
        <v>303</v>
      </c>
      <c r="D11" t="s">
        <v>86</v>
      </c>
      <c r="E11" t="s">
        <v>317</v>
      </c>
      <c r="F11" t="s">
        <v>282</v>
      </c>
      <c r="G11">
        <v>0.28000000000000003</v>
      </c>
      <c r="H11">
        <v>0.28000000000000003</v>
      </c>
      <c r="I11">
        <v>0.28000000000000003</v>
      </c>
      <c r="K11" t="s">
        <v>17</v>
      </c>
      <c r="L11" t="s">
        <v>305</v>
      </c>
      <c r="M11" t="s">
        <v>253</v>
      </c>
      <c r="N11" s="132">
        <f>_xlfn.XLOOKUP(Baukon_alle_A4_join[[#This Row],[Transport.Transport-Modus]],LeitRess_Materialien[Name],LeitRess_Materialien[RMI '[kg Primärrohstoffe / kg']])*Baukon_alle_A4_join[[#This Row],[Transportdistanz.Voreinstellung]]*Baukon_alle_A4_join[[#This Row],[Masse '[kg/m²'] Referenz]]</f>
        <v>2.4428359344005422E-3</v>
      </c>
      <c r="O11" s="132">
        <f>_xlfn.XLOOKUP(Baukon_alle_A4_join[[#This Row],[Transport.Transport-Modus]],LeitRess_Materialien[Name],LeitRess_Materialien[RMI '[kg Primärrohstoffe / kg']])*Baukon_alle_A4_join[[#This Row],[Transportdistanz.Voreinstellung]]*Baukon_alle_A4_join[[#This Row],[Masse '[kg/m²'] min]]</f>
        <v>2.4428359344005422E-3</v>
      </c>
      <c r="P11" s="132">
        <f>_xlfn.XLOOKUP(Baukon_alle_A4_join[[#This Row],[Transport.Transport-Modus]],LeitRess_Materialien[Name],LeitRess_Materialien[RMI '[kg Primärrohstoffe / kg']])*Baukon_alle_A4_join[[#This Row],[Transportdistanz.Voreinstellung]]*Baukon_alle_A4_join[[#This Row],[Masse '[kg/m²'] max]]</f>
        <v>2.4428359344005422E-3</v>
      </c>
      <c r="Q11" s="132">
        <f>_xlfn.XLOOKUP(Baukon_alle_A4_join[[#This Row],[Transport.Transport-Modus]],LeitRess_Materialien[Name],LeitRess_Materialien[TMR '[kg Gesamtmaterialaufwand/kg']])*Baukon_alle_A4_join[[#This Row],[Transportdistanz.Voreinstellung]]*Baukon_alle_A4_join[[#This Row],[Masse '[kg/m²'] Referenz]]</f>
        <v>2.9114864363092062E-3</v>
      </c>
      <c r="R11" s="132">
        <f>_xlfn.XLOOKUP(Baukon_alle_A4_join[[#This Row],[Transport.Transport-Modus]],LeitRess_Materialien[Name],LeitRess_Materialien[TMR '[kg Gesamtmaterialaufwand/kg']])*Baukon_alle_A4_join[[#This Row],[Transportdistanz.Voreinstellung]]*Baukon_alle_A4_join[[#This Row],[Masse '[kg/m²'] min]]</f>
        <v>2.9114864363092062E-3</v>
      </c>
      <c r="S11" s="132">
        <f>_xlfn.XLOOKUP(Baukon_alle_A4_join[[#This Row],[Transport.Transport-Modus]],LeitRess_Materialien[Name],LeitRess_Materialien[TMR '[kg Gesamtmaterialaufwand/kg']])*Baukon_alle_A4_join[[#This Row],[Transportdistanz.Voreinstellung]]*Baukon_alle_A4_join[[#This Row],[Masse '[kg/m²'] max]]</f>
        <v>2.9114864363092062E-3</v>
      </c>
      <c r="T11" s="132">
        <f>_xlfn.XLOOKUP(Baukon_alle_A4_join[[#This Row],[Transport.Transport-Modus]],LeitRess_Materialien[Name],LeitRess_Materialien[GWP '[kg CO2-Äqu./kg']])*Baukon_alle_A4_join[[#This Row],[Transportdistanz.Voreinstellung]]*Baukon_alle_A4_join[[#This Row],[Masse '[kg/m²'] Referenz]]</f>
        <v>2.7101490924363101E-3</v>
      </c>
      <c r="U11" s="132">
        <f>_xlfn.XLOOKUP(Baukon_alle_A4_join[[#This Row],[Transport.Transport-Modus]],LeitRess_Materialien[Name],LeitRess_Materialien[GWP '[kg CO2-Äqu./kg']])*Baukon_alle_A4_join[[#This Row],[Transportdistanz.Voreinstellung]]*Baukon_alle_A4_join[[#This Row],[Masse '[kg/m²'] min]]</f>
        <v>2.7101490924363101E-3</v>
      </c>
      <c r="V11" s="132">
        <f>_xlfn.XLOOKUP(Baukon_alle_A4_join[[#This Row],[Transport.Transport-Modus]],LeitRess_Materialien[Name],LeitRess_Materialien[GWP '[kg CO2-Äqu./kg']])*Baukon_alle_A4_join[[#This Row],[Transportdistanz.Voreinstellung]]*Baukon_alle_A4_join[[#This Row],[Masse '[kg/m²'] max]]</f>
        <v>2.7101490924363101E-3</v>
      </c>
      <c r="W11" s="132">
        <f>_xlfn.XLOOKUP(Baukon_alle_A4_join[[#This Row],[Transport.Transport-Modus]],LeitRess_Materialien[Name],LeitRess_Materialien[PENRT '[MJ/kg']])*Baukon_alle_A4_join[[#This Row],[Transportdistanz.Voreinstellung]]*Baukon_alle_A4_join[[#This Row],[Masse '[kg/m²'] Referenz]]</f>
        <v>1.6909268711999999E-2</v>
      </c>
      <c r="X11" s="132">
        <f>_xlfn.XLOOKUP(Baukon_alle_A4_join[[#This Row],[Transport.Transport-Modus]],LeitRess_Materialien[Name],LeitRess_Materialien[PENRT '[MJ/kg']])*Baukon_alle_A4_join[[#This Row],[Transportdistanz.Voreinstellung]]*Baukon_alle_A4_join[[#This Row],[Masse '[kg/m²'] min]]</f>
        <v>1.6909268711999999E-2</v>
      </c>
      <c r="Y11" s="132">
        <f>_xlfn.XLOOKUP(Baukon_alle_A4_join[[#This Row],[Transport.Transport-Modus]],LeitRess_Materialien[Name],LeitRess_Materialien[PENRT '[MJ/kg']])*Baukon_alle_A4_join[[#This Row],[Transportdistanz.Voreinstellung]]*Baukon_alle_A4_join[[#This Row],[Masse '[kg/m²'] max]]</f>
        <v>1.6909268711999999E-2</v>
      </c>
      <c r="Z11" s="132">
        <f>_xlfn.XLOOKUP(Baukon_alle_A4_join[[#This Row],[Transport.Transport-Modus]],LeitRess_Materialien[Name],LeitRess_Materialien[WDP '[m³ weighted water/kg']])*Baukon_alle_A4_join[[#This Row],[Transportdistanz.Voreinstellung]]*Baukon_alle_A4_join[[#This Row],[Masse '[kg/m²'] Referenz]]</f>
        <v>1.8389527933015962E-4</v>
      </c>
      <c r="AA11" s="132">
        <f>_xlfn.XLOOKUP(Baukon_alle_A4_join[[#This Row],[Transport.Transport-Modus]],LeitRess_Materialien[Name],LeitRess_Materialien[WDP '[m³ weighted water/kg']])*Baukon_alle_A4_join[[#This Row],[Transportdistanz.Voreinstellung]]*Baukon_alle_A4_join[[#This Row],[Masse '[kg/m²'] min]]</f>
        <v>1.8389527933015962E-4</v>
      </c>
      <c r="AB11" s="132">
        <f>_xlfn.XLOOKUP(Baukon_alle_A4_join[[#This Row],[Transport.Transport-Modus]],LeitRess_Materialien[Name],LeitRess_Materialien[WDP '[m³ weighted water/kg']])*Baukon_alle_A4_join[[#This Row],[Transportdistanz.Voreinstellung]]*Baukon_alle_A4_join[[#This Row],[Masse '[kg/m²'] max]]</f>
        <v>1.8389527933015962E-4</v>
      </c>
      <c r="AC11"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4.5027240124723203E-7</v>
      </c>
      <c r="AD11"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4.5027240124723203E-7</v>
      </c>
      <c r="AE11"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4.5027240124723203E-7</v>
      </c>
    </row>
    <row r="12" spans="1:31" x14ac:dyDescent="0.45">
      <c r="A12" t="s">
        <v>53</v>
      </c>
      <c r="B12" t="s">
        <v>306</v>
      </c>
      <c r="C12" t="s">
        <v>303</v>
      </c>
      <c r="D12" t="s">
        <v>71</v>
      </c>
      <c r="E12" t="s">
        <v>317</v>
      </c>
      <c r="F12" t="s">
        <v>282</v>
      </c>
      <c r="G12">
        <v>0.28000000000000003</v>
      </c>
      <c r="H12">
        <v>0.28000000000000003</v>
      </c>
      <c r="I12">
        <v>0.28000000000000003</v>
      </c>
      <c r="K12" t="s">
        <v>17</v>
      </c>
      <c r="L12" t="s">
        <v>305</v>
      </c>
      <c r="M12" t="s">
        <v>253</v>
      </c>
      <c r="N12" s="132">
        <f>_xlfn.XLOOKUP(Baukon_alle_A4_join[[#This Row],[Transport.Transport-Modus]],LeitRess_Materialien[Name],LeitRess_Materialien[RMI '[kg Primärrohstoffe / kg']])*Baukon_alle_A4_join[[#This Row],[Transportdistanz.Voreinstellung]]*Baukon_alle_A4_join[[#This Row],[Masse '[kg/m²'] Referenz]]</f>
        <v>2.4428359344005422E-3</v>
      </c>
      <c r="O12" s="132">
        <f>_xlfn.XLOOKUP(Baukon_alle_A4_join[[#This Row],[Transport.Transport-Modus]],LeitRess_Materialien[Name],LeitRess_Materialien[RMI '[kg Primärrohstoffe / kg']])*Baukon_alle_A4_join[[#This Row],[Transportdistanz.Voreinstellung]]*Baukon_alle_A4_join[[#This Row],[Masse '[kg/m²'] min]]</f>
        <v>2.4428359344005422E-3</v>
      </c>
      <c r="P12" s="132">
        <f>_xlfn.XLOOKUP(Baukon_alle_A4_join[[#This Row],[Transport.Transport-Modus]],LeitRess_Materialien[Name],LeitRess_Materialien[RMI '[kg Primärrohstoffe / kg']])*Baukon_alle_A4_join[[#This Row],[Transportdistanz.Voreinstellung]]*Baukon_alle_A4_join[[#This Row],[Masse '[kg/m²'] max]]</f>
        <v>2.4428359344005422E-3</v>
      </c>
      <c r="Q12" s="132">
        <f>_xlfn.XLOOKUP(Baukon_alle_A4_join[[#This Row],[Transport.Transport-Modus]],LeitRess_Materialien[Name],LeitRess_Materialien[TMR '[kg Gesamtmaterialaufwand/kg']])*Baukon_alle_A4_join[[#This Row],[Transportdistanz.Voreinstellung]]*Baukon_alle_A4_join[[#This Row],[Masse '[kg/m²'] Referenz]]</f>
        <v>2.9114864363092062E-3</v>
      </c>
      <c r="R12" s="132">
        <f>_xlfn.XLOOKUP(Baukon_alle_A4_join[[#This Row],[Transport.Transport-Modus]],LeitRess_Materialien[Name],LeitRess_Materialien[TMR '[kg Gesamtmaterialaufwand/kg']])*Baukon_alle_A4_join[[#This Row],[Transportdistanz.Voreinstellung]]*Baukon_alle_A4_join[[#This Row],[Masse '[kg/m²'] min]]</f>
        <v>2.9114864363092062E-3</v>
      </c>
      <c r="S12" s="132">
        <f>_xlfn.XLOOKUP(Baukon_alle_A4_join[[#This Row],[Transport.Transport-Modus]],LeitRess_Materialien[Name],LeitRess_Materialien[TMR '[kg Gesamtmaterialaufwand/kg']])*Baukon_alle_A4_join[[#This Row],[Transportdistanz.Voreinstellung]]*Baukon_alle_A4_join[[#This Row],[Masse '[kg/m²'] max]]</f>
        <v>2.9114864363092062E-3</v>
      </c>
      <c r="T12" s="132">
        <f>_xlfn.XLOOKUP(Baukon_alle_A4_join[[#This Row],[Transport.Transport-Modus]],LeitRess_Materialien[Name],LeitRess_Materialien[GWP '[kg CO2-Äqu./kg']])*Baukon_alle_A4_join[[#This Row],[Transportdistanz.Voreinstellung]]*Baukon_alle_A4_join[[#This Row],[Masse '[kg/m²'] Referenz]]</f>
        <v>2.7101490924363101E-3</v>
      </c>
      <c r="U12" s="132">
        <f>_xlfn.XLOOKUP(Baukon_alle_A4_join[[#This Row],[Transport.Transport-Modus]],LeitRess_Materialien[Name],LeitRess_Materialien[GWP '[kg CO2-Äqu./kg']])*Baukon_alle_A4_join[[#This Row],[Transportdistanz.Voreinstellung]]*Baukon_alle_A4_join[[#This Row],[Masse '[kg/m²'] min]]</f>
        <v>2.7101490924363101E-3</v>
      </c>
      <c r="V12" s="132">
        <f>_xlfn.XLOOKUP(Baukon_alle_A4_join[[#This Row],[Transport.Transport-Modus]],LeitRess_Materialien[Name],LeitRess_Materialien[GWP '[kg CO2-Äqu./kg']])*Baukon_alle_A4_join[[#This Row],[Transportdistanz.Voreinstellung]]*Baukon_alle_A4_join[[#This Row],[Masse '[kg/m²'] max]]</f>
        <v>2.7101490924363101E-3</v>
      </c>
      <c r="W12" s="132">
        <f>_xlfn.XLOOKUP(Baukon_alle_A4_join[[#This Row],[Transport.Transport-Modus]],LeitRess_Materialien[Name],LeitRess_Materialien[PENRT '[MJ/kg']])*Baukon_alle_A4_join[[#This Row],[Transportdistanz.Voreinstellung]]*Baukon_alle_A4_join[[#This Row],[Masse '[kg/m²'] Referenz]]</f>
        <v>1.6909268711999999E-2</v>
      </c>
      <c r="X12" s="132">
        <f>_xlfn.XLOOKUP(Baukon_alle_A4_join[[#This Row],[Transport.Transport-Modus]],LeitRess_Materialien[Name],LeitRess_Materialien[PENRT '[MJ/kg']])*Baukon_alle_A4_join[[#This Row],[Transportdistanz.Voreinstellung]]*Baukon_alle_A4_join[[#This Row],[Masse '[kg/m²'] min]]</f>
        <v>1.6909268711999999E-2</v>
      </c>
      <c r="Y12" s="132">
        <f>_xlfn.XLOOKUP(Baukon_alle_A4_join[[#This Row],[Transport.Transport-Modus]],LeitRess_Materialien[Name],LeitRess_Materialien[PENRT '[MJ/kg']])*Baukon_alle_A4_join[[#This Row],[Transportdistanz.Voreinstellung]]*Baukon_alle_A4_join[[#This Row],[Masse '[kg/m²'] max]]</f>
        <v>1.6909268711999999E-2</v>
      </c>
      <c r="Z12" s="132">
        <f>_xlfn.XLOOKUP(Baukon_alle_A4_join[[#This Row],[Transport.Transport-Modus]],LeitRess_Materialien[Name],LeitRess_Materialien[WDP '[m³ weighted water/kg']])*Baukon_alle_A4_join[[#This Row],[Transportdistanz.Voreinstellung]]*Baukon_alle_A4_join[[#This Row],[Masse '[kg/m²'] Referenz]]</f>
        <v>1.8389527933015962E-4</v>
      </c>
      <c r="AA12" s="132">
        <f>_xlfn.XLOOKUP(Baukon_alle_A4_join[[#This Row],[Transport.Transport-Modus]],LeitRess_Materialien[Name],LeitRess_Materialien[WDP '[m³ weighted water/kg']])*Baukon_alle_A4_join[[#This Row],[Transportdistanz.Voreinstellung]]*Baukon_alle_A4_join[[#This Row],[Masse '[kg/m²'] min]]</f>
        <v>1.8389527933015962E-4</v>
      </c>
      <c r="AB12" s="132">
        <f>_xlfn.XLOOKUP(Baukon_alle_A4_join[[#This Row],[Transport.Transport-Modus]],LeitRess_Materialien[Name],LeitRess_Materialien[WDP '[m³ weighted water/kg']])*Baukon_alle_A4_join[[#This Row],[Transportdistanz.Voreinstellung]]*Baukon_alle_A4_join[[#This Row],[Masse '[kg/m²'] max]]</f>
        <v>1.8389527933015962E-4</v>
      </c>
      <c r="AC12"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4.5027240124723203E-7</v>
      </c>
      <c r="AD12"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4.5027240124723203E-7</v>
      </c>
      <c r="AE12"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4.5027240124723203E-7</v>
      </c>
    </row>
    <row r="13" spans="1:31" x14ac:dyDescent="0.45">
      <c r="A13" t="s">
        <v>110</v>
      </c>
      <c r="B13" t="s">
        <v>318</v>
      </c>
      <c r="C13" t="s">
        <v>312</v>
      </c>
      <c r="D13" t="s">
        <v>116</v>
      </c>
      <c r="E13" t="s">
        <v>319</v>
      </c>
      <c r="F13" t="s">
        <v>282</v>
      </c>
      <c r="G13">
        <v>0.28000000000000003</v>
      </c>
      <c r="H13">
        <v>0.28000000000000003</v>
      </c>
      <c r="I13">
        <v>0.28000000000000003</v>
      </c>
      <c r="K13" t="s">
        <v>17</v>
      </c>
      <c r="L13" t="s">
        <v>305</v>
      </c>
      <c r="M13" t="s">
        <v>253</v>
      </c>
      <c r="N13" s="132">
        <f>_xlfn.XLOOKUP(Baukon_alle_A4_join[[#This Row],[Transport.Transport-Modus]],LeitRess_Materialien[Name],LeitRess_Materialien[RMI '[kg Primärrohstoffe / kg']])*Baukon_alle_A4_join[[#This Row],[Transportdistanz.Voreinstellung]]*Baukon_alle_A4_join[[#This Row],[Masse '[kg/m²'] Referenz]]</f>
        <v>2.4428359344005422E-3</v>
      </c>
      <c r="O13" s="132">
        <f>_xlfn.XLOOKUP(Baukon_alle_A4_join[[#This Row],[Transport.Transport-Modus]],LeitRess_Materialien[Name],LeitRess_Materialien[RMI '[kg Primärrohstoffe / kg']])*Baukon_alle_A4_join[[#This Row],[Transportdistanz.Voreinstellung]]*Baukon_alle_A4_join[[#This Row],[Masse '[kg/m²'] min]]</f>
        <v>2.4428359344005422E-3</v>
      </c>
      <c r="P13" s="132">
        <f>_xlfn.XLOOKUP(Baukon_alle_A4_join[[#This Row],[Transport.Transport-Modus]],LeitRess_Materialien[Name],LeitRess_Materialien[RMI '[kg Primärrohstoffe / kg']])*Baukon_alle_A4_join[[#This Row],[Transportdistanz.Voreinstellung]]*Baukon_alle_A4_join[[#This Row],[Masse '[kg/m²'] max]]</f>
        <v>2.4428359344005422E-3</v>
      </c>
      <c r="Q13" s="132">
        <f>_xlfn.XLOOKUP(Baukon_alle_A4_join[[#This Row],[Transport.Transport-Modus]],LeitRess_Materialien[Name],LeitRess_Materialien[TMR '[kg Gesamtmaterialaufwand/kg']])*Baukon_alle_A4_join[[#This Row],[Transportdistanz.Voreinstellung]]*Baukon_alle_A4_join[[#This Row],[Masse '[kg/m²'] Referenz]]</f>
        <v>2.9114864363092062E-3</v>
      </c>
      <c r="R13" s="132">
        <f>_xlfn.XLOOKUP(Baukon_alle_A4_join[[#This Row],[Transport.Transport-Modus]],LeitRess_Materialien[Name],LeitRess_Materialien[TMR '[kg Gesamtmaterialaufwand/kg']])*Baukon_alle_A4_join[[#This Row],[Transportdistanz.Voreinstellung]]*Baukon_alle_A4_join[[#This Row],[Masse '[kg/m²'] min]]</f>
        <v>2.9114864363092062E-3</v>
      </c>
      <c r="S13" s="132">
        <f>_xlfn.XLOOKUP(Baukon_alle_A4_join[[#This Row],[Transport.Transport-Modus]],LeitRess_Materialien[Name],LeitRess_Materialien[TMR '[kg Gesamtmaterialaufwand/kg']])*Baukon_alle_A4_join[[#This Row],[Transportdistanz.Voreinstellung]]*Baukon_alle_A4_join[[#This Row],[Masse '[kg/m²'] max]]</f>
        <v>2.9114864363092062E-3</v>
      </c>
      <c r="T13" s="132">
        <f>_xlfn.XLOOKUP(Baukon_alle_A4_join[[#This Row],[Transport.Transport-Modus]],LeitRess_Materialien[Name],LeitRess_Materialien[GWP '[kg CO2-Äqu./kg']])*Baukon_alle_A4_join[[#This Row],[Transportdistanz.Voreinstellung]]*Baukon_alle_A4_join[[#This Row],[Masse '[kg/m²'] Referenz]]</f>
        <v>2.7101490924363101E-3</v>
      </c>
      <c r="U13" s="132">
        <f>_xlfn.XLOOKUP(Baukon_alle_A4_join[[#This Row],[Transport.Transport-Modus]],LeitRess_Materialien[Name],LeitRess_Materialien[GWP '[kg CO2-Äqu./kg']])*Baukon_alle_A4_join[[#This Row],[Transportdistanz.Voreinstellung]]*Baukon_alle_A4_join[[#This Row],[Masse '[kg/m²'] min]]</f>
        <v>2.7101490924363101E-3</v>
      </c>
      <c r="V13" s="132">
        <f>_xlfn.XLOOKUP(Baukon_alle_A4_join[[#This Row],[Transport.Transport-Modus]],LeitRess_Materialien[Name],LeitRess_Materialien[GWP '[kg CO2-Äqu./kg']])*Baukon_alle_A4_join[[#This Row],[Transportdistanz.Voreinstellung]]*Baukon_alle_A4_join[[#This Row],[Masse '[kg/m²'] max]]</f>
        <v>2.7101490924363101E-3</v>
      </c>
      <c r="W13" s="132">
        <f>_xlfn.XLOOKUP(Baukon_alle_A4_join[[#This Row],[Transport.Transport-Modus]],LeitRess_Materialien[Name],LeitRess_Materialien[PENRT '[MJ/kg']])*Baukon_alle_A4_join[[#This Row],[Transportdistanz.Voreinstellung]]*Baukon_alle_A4_join[[#This Row],[Masse '[kg/m²'] Referenz]]</f>
        <v>1.6909268711999999E-2</v>
      </c>
      <c r="X13" s="132">
        <f>_xlfn.XLOOKUP(Baukon_alle_A4_join[[#This Row],[Transport.Transport-Modus]],LeitRess_Materialien[Name],LeitRess_Materialien[PENRT '[MJ/kg']])*Baukon_alle_A4_join[[#This Row],[Transportdistanz.Voreinstellung]]*Baukon_alle_A4_join[[#This Row],[Masse '[kg/m²'] min]]</f>
        <v>1.6909268711999999E-2</v>
      </c>
      <c r="Y13" s="132">
        <f>_xlfn.XLOOKUP(Baukon_alle_A4_join[[#This Row],[Transport.Transport-Modus]],LeitRess_Materialien[Name],LeitRess_Materialien[PENRT '[MJ/kg']])*Baukon_alle_A4_join[[#This Row],[Transportdistanz.Voreinstellung]]*Baukon_alle_A4_join[[#This Row],[Masse '[kg/m²'] max]]</f>
        <v>1.6909268711999999E-2</v>
      </c>
      <c r="Z13" s="132">
        <f>_xlfn.XLOOKUP(Baukon_alle_A4_join[[#This Row],[Transport.Transport-Modus]],LeitRess_Materialien[Name],LeitRess_Materialien[WDP '[m³ weighted water/kg']])*Baukon_alle_A4_join[[#This Row],[Transportdistanz.Voreinstellung]]*Baukon_alle_A4_join[[#This Row],[Masse '[kg/m²'] Referenz]]</f>
        <v>1.8389527933015962E-4</v>
      </c>
      <c r="AA13" s="132">
        <f>_xlfn.XLOOKUP(Baukon_alle_A4_join[[#This Row],[Transport.Transport-Modus]],LeitRess_Materialien[Name],LeitRess_Materialien[WDP '[m³ weighted water/kg']])*Baukon_alle_A4_join[[#This Row],[Transportdistanz.Voreinstellung]]*Baukon_alle_A4_join[[#This Row],[Masse '[kg/m²'] min]]</f>
        <v>1.8389527933015962E-4</v>
      </c>
      <c r="AB13" s="132">
        <f>_xlfn.XLOOKUP(Baukon_alle_A4_join[[#This Row],[Transport.Transport-Modus]],LeitRess_Materialien[Name],LeitRess_Materialien[WDP '[m³ weighted water/kg']])*Baukon_alle_A4_join[[#This Row],[Transportdistanz.Voreinstellung]]*Baukon_alle_A4_join[[#This Row],[Masse '[kg/m²'] max]]</f>
        <v>1.8389527933015962E-4</v>
      </c>
      <c r="AC13"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4.5027240124723203E-7</v>
      </c>
      <c r="AD13"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4.5027240124723203E-7</v>
      </c>
      <c r="AE13"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4.5027240124723203E-7</v>
      </c>
    </row>
    <row r="14" spans="1:31" x14ac:dyDescent="0.45">
      <c r="A14" t="s">
        <v>53</v>
      </c>
      <c r="B14" t="s">
        <v>302</v>
      </c>
      <c r="C14" t="s">
        <v>303</v>
      </c>
      <c r="D14" t="s">
        <v>86</v>
      </c>
      <c r="E14" t="s">
        <v>320</v>
      </c>
      <c r="F14" t="s">
        <v>270</v>
      </c>
      <c r="G14">
        <v>3.84</v>
      </c>
      <c r="H14">
        <v>2.56</v>
      </c>
      <c r="I14">
        <v>6.4</v>
      </c>
      <c r="K14" t="s">
        <v>17</v>
      </c>
      <c r="L14" t="s">
        <v>305</v>
      </c>
      <c r="M14" t="s">
        <v>253</v>
      </c>
      <c r="N14" s="132">
        <f>_xlfn.XLOOKUP(Baukon_alle_A4_join[[#This Row],[Transport.Transport-Modus]],LeitRess_Materialien[Name],LeitRess_Materialien[RMI '[kg Primärrohstoffe / kg']])*Baukon_alle_A4_join[[#This Row],[Transportdistanz.Voreinstellung]]*Baukon_alle_A4_join[[#This Row],[Masse '[kg/m²'] Referenz]]</f>
        <v>3.3501749957493145E-2</v>
      </c>
      <c r="O14" s="132">
        <f>_xlfn.XLOOKUP(Baukon_alle_A4_join[[#This Row],[Transport.Transport-Modus]],LeitRess_Materialien[Name],LeitRess_Materialien[RMI '[kg Primärrohstoffe / kg']])*Baukon_alle_A4_join[[#This Row],[Transportdistanz.Voreinstellung]]*Baukon_alle_A4_join[[#This Row],[Masse '[kg/m²'] min]]</f>
        <v>2.2334499971662099E-2</v>
      </c>
      <c r="P14" s="132">
        <f>_xlfn.XLOOKUP(Baukon_alle_A4_join[[#This Row],[Transport.Transport-Modus]],LeitRess_Materialien[Name],LeitRess_Materialien[RMI '[kg Primärrohstoffe / kg']])*Baukon_alle_A4_join[[#This Row],[Transportdistanz.Voreinstellung]]*Baukon_alle_A4_join[[#This Row],[Masse '[kg/m²'] max]]</f>
        <v>5.583624992915525E-2</v>
      </c>
      <c r="Q14" s="132">
        <f>_xlfn.XLOOKUP(Baukon_alle_A4_join[[#This Row],[Transport.Transport-Modus]],LeitRess_Materialien[Name],LeitRess_Materialien[TMR '[kg Gesamtmaterialaufwand/kg']])*Baukon_alle_A4_join[[#This Row],[Transportdistanz.Voreinstellung]]*Baukon_alle_A4_join[[#This Row],[Masse '[kg/m²'] Referenz]]</f>
        <v>3.992895684081197E-2</v>
      </c>
      <c r="R14" s="132">
        <f>_xlfn.XLOOKUP(Baukon_alle_A4_join[[#This Row],[Transport.Transport-Modus]],LeitRess_Materialien[Name],LeitRess_Materialien[TMR '[kg Gesamtmaterialaufwand/kg']])*Baukon_alle_A4_join[[#This Row],[Transportdistanz.Voreinstellung]]*Baukon_alle_A4_join[[#This Row],[Masse '[kg/m²'] min]]</f>
        <v>2.6619304560541315E-2</v>
      </c>
      <c r="S14" s="132">
        <f>_xlfn.XLOOKUP(Baukon_alle_A4_join[[#This Row],[Transport.Transport-Modus]],LeitRess_Materialien[Name],LeitRess_Materialien[TMR '[kg Gesamtmaterialaufwand/kg']])*Baukon_alle_A4_join[[#This Row],[Transportdistanz.Voreinstellung]]*Baukon_alle_A4_join[[#This Row],[Masse '[kg/m²'] max]]</f>
        <v>6.6548261401353281E-2</v>
      </c>
      <c r="T14" s="132">
        <f>_xlfn.XLOOKUP(Baukon_alle_A4_join[[#This Row],[Transport.Transport-Modus]],LeitRess_Materialien[Name],LeitRess_Materialien[GWP '[kg CO2-Äqu./kg']])*Baukon_alle_A4_join[[#This Row],[Transportdistanz.Voreinstellung]]*Baukon_alle_A4_join[[#This Row],[Masse '[kg/m²'] Referenz]]</f>
        <v>3.7167758981983677E-2</v>
      </c>
      <c r="U14" s="132">
        <f>_xlfn.XLOOKUP(Baukon_alle_A4_join[[#This Row],[Transport.Transport-Modus]],LeitRess_Materialien[Name],LeitRess_Materialien[GWP '[kg CO2-Äqu./kg']])*Baukon_alle_A4_join[[#This Row],[Transportdistanz.Voreinstellung]]*Baukon_alle_A4_join[[#This Row],[Masse '[kg/m²'] min]]</f>
        <v>2.477850598798912E-2</v>
      </c>
      <c r="V14" s="132">
        <f>_xlfn.XLOOKUP(Baukon_alle_A4_join[[#This Row],[Transport.Transport-Modus]],LeitRess_Materialien[Name],LeitRess_Materialien[GWP '[kg CO2-Äqu./kg']])*Baukon_alle_A4_join[[#This Row],[Transportdistanz.Voreinstellung]]*Baukon_alle_A4_join[[#This Row],[Masse '[kg/m²'] max]]</f>
        <v>6.1946264969972797E-2</v>
      </c>
      <c r="W14" s="132">
        <f>_xlfn.XLOOKUP(Baukon_alle_A4_join[[#This Row],[Transport.Transport-Modus]],LeitRess_Materialien[Name],LeitRess_Materialien[PENRT '[MJ/kg']])*Baukon_alle_A4_join[[#This Row],[Transportdistanz.Voreinstellung]]*Baukon_alle_A4_join[[#This Row],[Masse '[kg/m²'] Referenz]]</f>
        <v>0.23189854233599996</v>
      </c>
      <c r="X14" s="132">
        <f>_xlfn.XLOOKUP(Baukon_alle_A4_join[[#This Row],[Transport.Transport-Modus]],LeitRess_Materialien[Name],LeitRess_Materialien[PENRT '[MJ/kg']])*Baukon_alle_A4_join[[#This Row],[Transportdistanz.Voreinstellung]]*Baukon_alle_A4_join[[#This Row],[Masse '[kg/m²'] min]]</f>
        <v>0.15459902822399998</v>
      </c>
      <c r="Y14" s="132">
        <f>_xlfn.XLOOKUP(Baukon_alle_A4_join[[#This Row],[Transport.Transport-Modus]],LeitRess_Materialien[Name],LeitRess_Materialien[PENRT '[MJ/kg']])*Baukon_alle_A4_join[[#This Row],[Transportdistanz.Voreinstellung]]*Baukon_alle_A4_join[[#This Row],[Masse '[kg/m²'] max]]</f>
        <v>0.38649757056</v>
      </c>
      <c r="Z14" s="132">
        <f>_xlfn.XLOOKUP(Baukon_alle_A4_join[[#This Row],[Transport.Transport-Modus]],LeitRess_Materialien[Name],LeitRess_Materialien[WDP '[m³ weighted water/kg']])*Baukon_alle_A4_join[[#This Row],[Transportdistanz.Voreinstellung]]*Baukon_alle_A4_join[[#This Row],[Masse '[kg/m²'] Referenz]]</f>
        <v>2.5219924022421886E-3</v>
      </c>
      <c r="AA14" s="132">
        <f>_xlfn.XLOOKUP(Baukon_alle_A4_join[[#This Row],[Transport.Transport-Modus]],LeitRess_Materialien[Name],LeitRess_Materialien[WDP '[m³ weighted water/kg']])*Baukon_alle_A4_join[[#This Row],[Transportdistanz.Voreinstellung]]*Baukon_alle_A4_join[[#This Row],[Masse '[kg/m²'] min]]</f>
        <v>1.6813282681614591E-3</v>
      </c>
      <c r="AB14" s="132">
        <f>_xlfn.XLOOKUP(Baukon_alle_A4_join[[#This Row],[Transport.Transport-Modus]],LeitRess_Materialien[Name],LeitRess_Materialien[WDP '[m³ weighted water/kg']])*Baukon_alle_A4_join[[#This Row],[Transportdistanz.Voreinstellung]]*Baukon_alle_A4_join[[#This Row],[Masse '[kg/m²'] max]]</f>
        <v>4.2033206704036484E-3</v>
      </c>
      <c r="AC14"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6.1751643599620386E-6</v>
      </c>
      <c r="AD14"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4.1167762399746935E-6</v>
      </c>
      <c r="AE14"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1.0291940599936733E-5</v>
      </c>
    </row>
    <row r="15" spans="1:31" x14ac:dyDescent="0.45">
      <c r="A15" t="s">
        <v>53</v>
      </c>
      <c r="B15" t="s">
        <v>306</v>
      </c>
      <c r="C15" t="s">
        <v>303</v>
      </c>
      <c r="D15" t="s">
        <v>71</v>
      </c>
      <c r="E15" t="s">
        <v>320</v>
      </c>
      <c r="F15" t="s">
        <v>270</v>
      </c>
      <c r="G15">
        <v>3.84</v>
      </c>
      <c r="H15">
        <v>2.56</v>
      </c>
      <c r="I15">
        <v>6.4</v>
      </c>
      <c r="K15" t="s">
        <v>17</v>
      </c>
      <c r="L15" t="s">
        <v>305</v>
      </c>
      <c r="M15" t="s">
        <v>253</v>
      </c>
      <c r="N15" s="132">
        <f>_xlfn.XLOOKUP(Baukon_alle_A4_join[[#This Row],[Transport.Transport-Modus]],LeitRess_Materialien[Name],LeitRess_Materialien[RMI '[kg Primärrohstoffe / kg']])*Baukon_alle_A4_join[[#This Row],[Transportdistanz.Voreinstellung]]*Baukon_alle_A4_join[[#This Row],[Masse '[kg/m²'] Referenz]]</f>
        <v>3.3501749957493145E-2</v>
      </c>
      <c r="O15" s="132">
        <f>_xlfn.XLOOKUP(Baukon_alle_A4_join[[#This Row],[Transport.Transport-Modus]],LeitRess_Materialien[Name],LeitRess_Materialien[RMI '[kg Primärrohstoffe / kg']])*Baukon_alle_A4_join[[#This Row],[Transportdistanz.Voreinstellung]]*Baukon_alle_A4_join[[#This Row],[Masse '[kg/m²'] min]]</f>
        <v>2.2334499971662099E-2</v>
      </c>
      <c r="P15" s="132">
        <f>_xlfn.XLOOKUP(Baukon_alle_A4_join[[#This Row],[Transport.Transport-Modus]],LeitRess_Materialien[Name],LeitRess_Materialien[RMI '[kg Primärrohstoffe / kg']])*Baukon_alle_A4_join[[#This Row],[Transportdistanz.Voreinstellung]]*Baukon_alle_A4_join[[#This Row],[Masse '[kg/m²'] max]]</f>
        <v>5.583624992915525E-2</v>
      </c>
      <c r="Q15" s="132">
        <f>_xlfn.XLOOKUP(Baukon_alle_A4_join[[#This Row],[Transport.Transport-Modus]],LeitRess_Materialien[Name],LeitRess_Materialien[TMR '[kg Gesamtmaterialaufwand/kg']])*Baukon_alle_A4_join[[#This Row],[Transportdistanz.Voreinstellung]]*Baukon_alle_A4_join[[#This Row],[Masse '[kg/m²'] Referenz]]</f>
        <v>3.992895684081197E-2</v>
      </c>
      <c r="R15" s="132">
        <f>_xlfn.XLOOKUP(Baukon_alle_A4_join[[#This Row],[Transport.Transport-Modus]],LeitRess_Materialien[Name],LeitRess_Materialien[TMR '[kg Gesamtmaterialaufwand/kg']])*Baukon_alle_A4_join[[#This Row],[Transportdistanz.Voreinstellung]]*Baukon_alle_A4_join[[#This Row],[Masse '[kg/m²'] min]]</f>
        <v>2.6619304560541315E-2</v>
      </c>
      <c r="S15" s="132">
        <f>_xlfn.XLOOKUP(Baukon_alle_A4_join[[#This Row],[Transport.Transport-Modus]],LeitRess_Materialien[Name],LeitRess_Materialien[TMR '[kg Gesamtmaterialaufwand/kg']])*Baukon_alle_A4_join[[#This Row],[Transportdistanz.Voreinstellung]]*Baukon_alle_A4_join[[#This Row],[Masse '[kg/m²'] max]]</f>
        <v>6.6548261401353281E-2</v>
      </c>
      <c r="T15" s="132">
        <f>_xlfn.XLOOKUP(Baukon_alle_A4_join[[#This Row],[Transport.Transport-Modus]],LeitRess_Materialien[Name],LeitRess_Materialien[GWP '[kg CO2-Äqu./kg']])*Baukon_alle_A4_join[[#This Row],[Transportdistanz.Voreinstellung]]*Baukon_alle_A4_join[[#This Row],[Masse '[kg/m²'] Referenz]]</f>
        <v>3.7167758981983677E-2</v>
      </c>
      <c r="U15" s="132">
        <f>_xlfn.XLOOKUP(Baukon_alle_A4_join[[#This Row],[Transport.Transport-Modus]],LeitRess_Materialien[Name],LeitRess_Materialien[GWP '[kg CO2-Äqu./kg']])*Baukon_alle_A4_join[[#This Row],[Transportdistanz.Voreinstellung]]*Baukon_alle_A4_join[[#This Row],[Masse '[kg/m²'] min]]</f>
        <v>2.477850598798912E-2</v>
      </c>
      <c r="V15" s="132">
        <f>_xlfn.XLOOKUP(Baukon_alle_A4_join[[#This Row],[Transport.Transport-Modus]],LeitRess_Materialien[Name],LeitRess_Materialien[GWP '[kg CO2-Äqu./kg']])*Baukon_alle_A4_join[[#This Row],[Transportdistanz.Voreinstellung]]*Baukon_alle_A4_join[[#This Row],[Masse '[kg/m²'] max]]</f>
        <v>6.1946264969972797E-2</v>
      </c>
      <c r="W15" s="132">
        <f>_xlfn.XLOOKUP(Baukon_alle_A4_join[[#This Row],[Transport.Transport-Modus]],LeitRess_Materialien[Name],LeitRess_Materialien[PENRT '[MJ/kg']])*Baukon_alle_A4_join[[#This Row],[Transportdistanz.Voreinstellung]]*Baukon_alle_A4_join[[#This Row],[Masse '[kg/m²'] Referenz]]</f>
        <v>0.23189854233599996</v>
      </c>
      <c r="X15" s="132">
        <f>_xlfn.XLOOKUP(Baukon_alle_A4_join[[#This Row],[Transport.Transport-Modus]],LeitRess_Materialien[Name],LeitRess_Materialien[PENRT '[MJ/kg']])*Baukon_alle_A4_join[[#This Row],[Transportdistanz.Voreinstellung]]*Baukon_alle_A4_join[[#This Row],[Masse '[kg/m²'] min]]</f>
        <v>0.15459902822399998</v>
      </c>
      <c r="Y15" s="132">
        <f>_xlfn.XLOOKUP(Baukon_alle_A4_join[[#This Row],[Transport.Transport-Modus]],LeitRess_Materialien[Name],LeitRess_Materialien[PENRT '[MJ/kg']])*Baukon_alle_A4_join[[#This Row],[Transportdistanz.Voreinstellung]]*Baukon_alle_A4_join[[#This Row],[Masse '[kg/m²'] max]]</f>
        <v>0.38649757056</v>
      </c>
      <c r="Z15" s="132">
        <f>_xlfn.XLOOKUP(Baukon_alle_A4_join[[#This Row],[Transport.Transport-Modus]],LeitRess_Materialien[Name],LeitRess_Materialien[WDP '[m³ weighted water/kg']])*Baukon_alle_A4_join[[#This Row],[Transportdistanz.Voreinstellung]]*Baukon_alle_A4_join[[#This Row],[Masse '[kg/m²'] Referenz]]</f>
        <v>2.5219924022421886E-3</v>
      </c>
      <c r="AA15" s="132">
        <f>_xlfn.XLOOKUP(Baukon_alle_A4_join[[#This Row],[Transport.Transport-Modus]],LeitRess_Materialien[Name],LeitRess_Materialien[WDP '[m³ weighted water/kg']])*Baukon_alle_A4_join[[#This Row],[Transportdistanz.Voreinstellung]]*Baukon_alle_A4_join[[#This Row],[Masse '[kg/m²'] min]]</f>
        <v>1.6813282681614591E-3</v>
      </c>
      <c r="AB15" s="132">
        <f>_xlfn.XLOOKUP(Baukon_alle_A4_join[[#This Row],[Transport.Transport-Modus]],LeitRess_Materialien[Name],LeitRess_Materialien[WDP '[m³ weighted water/kg']])*Baukon_alle_A4_join[[#This Row],[Transportdistanz.Voreinstellung]]*Baukon_alle_A4_join[[#This Row],[Masse '[kg/m²'] max]]</f>
        <v>4.2033206704036484E-3</v>
      </c>
      <c r="AC15"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6.1751643599620386E-6</v>
      </c>
      <c r="AD15"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4.1167762399746935E-6</v>
      </c>
      <c r="AE15"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1.0291940599936733E-5</v>
      </c>
    </row>
    <row r="16" spans="1:31" x14ac:dyDescent="0.45">
      <c r="A16" t="s">
        <v>110</v>
      </c>
      <c r="B16" t="s">
        <v>318</v>
      </c>
      <c r="C16" t="s">
        <v>312</v>
      </c>
      <c r="D16" t="s">
        <v>116</v>
      </c>
      <c r="E16" t="s">
        <v>255</v>
      </c>
      <c r="F16" t="s">
        <v>255</v>
      </c>
      <c r="G16">
        <v>0.36</v>
      </c>
      <c r="H16">
        <v>0.36</v>
      </c>
      <c r="I16">
        <v>0.36</v>
      </c>
      <c r="K16" t="s">
        <v>17</v>
      </c>
      <c r="L16" t="s">
        <v>305</v>
      </c>
      <c r="M16" t="s">
        <v>253</v>
      </c>
      <c r="N16" s="132">
        <f>_xlfn.XLOOKUP(Baukon_alle_A4_join[[#This Row],[Transport.Transport-Modus]],LeitRess_Materialien[Name],LeitRess_Materialien[RMI '[kg Primärrohstoffe / kg']])*Baukon_alle_A4_join[[#This Row],[Transportdistanz.Voreinstellung]]*Baukon_alle_A4_join[[#This Row],[Masse '[kg/m²'] Referenz]]</f>
        <v>3.1407890585149825E-3</v>
      </c>
      <c r="O16" s="132">
        <f>_xlfn.XLOOKUP(Baukon_alle_A4_join[[#This Row],[Transport.Transport-Modus]],LeitRess_Materialien[Name],LeitRess_Materialien[RMI '[kg Primärrohstoffe / kg']])*Baukon_alle_A4_join[[#This Row],[Transportdistanz.Voreinstellung]]*Baukon_alle_A4_join[[#This Row],[Masse '[kg/m²'] min]]</f>
        <v>3.1407890585149825E-3</v>
      </c>
      <c r="P16" s="132">
        <f>_xlfn.XLOOKUP(Baukon_alle_A4_join[[#This Row],[Transport.Transport-Modus]],LeitRess_Materialien[Name],LeitRess_Materialien[RMI '[kg Primärrohstoffe / kg']])*Baukon_alle_A4_join[[#This Row],[Transportdistanz.Voreinstellung]]*Baukon_alle_A4_join[[#This Row],[Masse '[kg/m²'] max]]</f>
        <v>3.1407890585149825E-3</v>
      </c>
      <c r="Q16" s="132">
        <f>_xlfn.XLOOKUP(Baukon_alle_A4_join[[#This Row],[Transport.Transport-Modus]],LeitRess_Materialien[Name],LeitRess_Materialien[TMR '[kg Gesamtmaterialaufwand/kg']])*Baukon_alle_A4_join[[#This Row],[Transportdistanz.Voreinstellung]]*Baukon_alle_A4_join[[#This Row],[Masse '[kg/m²'] Referenz]]</f>
        <v>3.743339703826122E-3</v>
      </c>
      <c r="R16" s="132">
        <f>_xlfn.XLOOKUP(Baukon_alle_A4_join[[#This Row],[Transport.Transport-Modus]],LeitRess_Materialien[Name],LeitRess_Materialien[TMR '[kg Gesamtmaterialaufwand/kg']])*Baukon_alle_A4_join[[#This Row],[Transportdistanz.Voreinstellung]]*Baukon_alle_A4_join[[#This Row],[Masse '[kg/m²'] min]]</f>
        <v>3.743339703826122E-3</v>
      </c>
      <c r="S16" s="132">
        <f>_xlfn.XLOOKUP(Baukon_alle_A4_join[[#This Row],[Transport.Transport-Modus]],LeitRess_Materialien[Name],LeitRess_Materialien[TMR '[kg Gesamtmaterialaufwand/kg']])*Baukon_alle_A4_join[[#This Row],[Transportdistanz.Voreinstellung]]*Baukon_alle_A4_join[[#This Row],[Masse '[kg/m²'] max]]</f>
        <v>3.743339703826122E-3</v>
      </c>
      <c r="T16" s="132">
        <f>_xlfn.XLOOKUP(Baukon_alle_A4_join[[#This Row],[Transport.Transport-Modus]],LeitRess_Materialien[Name],LeitRess_Materialien[GWP '[kg CO2-Äqu./kg']])*Baukon_alle_A4_join[[#This Row],[Transportdistanz.Voreinstellung]]*Baukon_alle_A4_join[[#This Row],[Masse '[kg/m²'] Referenz]]</f>
        <v>3.4844774045609699E-3</v>
      </c>
      <c r="U16" s="132">
        <f>_xlfn.XLOOKUP(Baukon_alle_A4_join[[#This Row],[Transport.Transport-Modus]],LeitRess_Materialien[Name],LeitRess_Materialien[GWP '[kg CO2-Äqu./kg']])*Baukon_alle_A4_join[[#This Row],[Transportdistanz.Voreinstellung]]*Baukon_alle_A4_join[[#This Row],[Masse '[kg/m²'] min]]</f>
        <v>3.4844774045609699E-3</v>
      </c>
      <c r="V16" s="132">
        <f>_xlfn.XLOOKUP(Baukon_alle_A4_join[[#This Row],[Transport.Transport-Modus]],LeitRess_Materialien[Name],LeitRess_Materialien[GWP '[kg CO2-Äqu./kg']])*Baukon_alle_A4_join[[#This Row],[Transportdistanz.Voreinstellung]]*Baukon_alle_A4_join[[#This Row],[Masse '[kg/m²'] max]]</f>
        <v>3.4844774045609699E-3</v>
      </c>
      <c r="W16" s="132">
        <f>_xlfn.XLOOKUP(Baukon_alle_A4_join[[#This Row],[Transport.Transport-Modus]],LeitRess_Materialien[Name],LeitRess_Materialien[PENRT '[MJ/kg']])*Baukon_alle_A4_join[[#This Row],[Transportdistanz.Voreinstellung]]*Baukon_alle_A4_join[[#This Row],[Masse '[kg/m²'] Referenz]]</f>
        <v>2.1740488343999997E-2</v>
      </c>
      <c r="X16" s="132">
        <f>_xlfn.XLOOKUP(Baukon_alle_A4_join[[#This Row],[Transport.Transport-Modus]],LeitRess_Materialien[Name],LeitRess_Materialien[PENRT '[MJ/kg']])*Baukon_alle_A4_join[[#This Row],[Transportdistanz.Voreinstellung]]*Baukon_alle_A4_join[[#This Row],[Masse '[kg/m²'] min]]</f>
        <v>2.1740488343999997E-2</v>
      </c>
      <c r="Y16" s="132">
        <f>_xlfn.XLOOKUP(Baukon_alle_A4_join[[#This Row],[Transport.Transport-Modus]],LeitRess_Materialien[Name],LeitRess_Materialien[PENRT '[MJ/kg']])*Baukon_alle_A4_join[[#This Row],[Transportdistanz.Voreinstellung]]*Baukon_alle_A4_join[[#This Row],[Masse '[kg/m²'] max]]</f>
        <v>2.1740488343999997E-2</v>
      </c>
      <c r="Z16" s="132">
        <f>_xlfn.XLOOKUP(Baukon_alle_A4_join[[#This Row],[Transport.Transport-Modus]],LeitRess_Materialien[Name],LeitRess_Materialien[WDP '[m³ weighted water/kg']])*Baukon_alle_A4_join[[#This Row],[Transportdistanz.Voreinstellung]]*Baukon_alle_A4_join[[#This Row],[Masse '[kg/m²'] Referenz]]</f>
        <v>2.3643678771020519E-4</v>
      </c>
      <c r="AA16" s="132">
        <f>_xlfn.XLOOKUP(Baukon_alle_A4_join[[#This Row],[Transport.Transport-Modus]],LeitRess_Materialien[Name],LeitRess_Materialien[WDP '[m³ weighted water/kg']])*Baukon_alle_A4_join[[#This Row],[Transportdistanz.Voreinstellung]]*Baukon_alle_A4_join[[#This Row],[Masse '[kg/m²'] min]]</f>
        <v>2.3643678771020519E-4</v>
      </c>
      <c r="AB16" s="132">
        <f>_xlfn.XLOOKUP(Baukon_alle_A4_join[[#This Row],[Transport.Transport-Modus]],LeitRess_Materialien[Name],LeitRess_Materialien[WDP '[m³ weighted water/kg']])*Baukon_alle_A4_join[[#This Row],[Transportdistanz.Voreinstellung]]*Baukon_alle_A4_join[[#This Row],[Masse '[kg/m²'] max]]</f>
        <v>2.3643678771020519E-4</v>
      </c>
      <c r="AC16"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5.789216587464412E-7</v>
      </c>
      <c r="AD16"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5.789216587464412E-7</v>
      </c>
      <c r="AE16"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5.789216587464412E-7</v>
      </c>
    </row>
    <row r="17" spans="1:31" x14ac:dyDescent="0.45">
      <c r="A17" t="s">
        <v>53</v>
      </c>
      <c r="B17" t="s">
        <v>302</v>
      </c>
      <c r="C17" t="s">
        <v>303</v>
      </c>
      <c r="D17" t="s">
        <v>86</v>
      </c>
      <c r="E17" t="s">
        <v>321</v>
      </c>
      <c r="F17" t="s">
        <v>256</v>
      </c>
      <c r="G17">
        <v>360</v>
      </c>
      <c r="H17">
        <v>360</v>
      </c>
      <c r="I17">
        <v>360</v>
      </c>
      <c r="K17" t="s">
        <v>17</v>
      </c>
      <c r="L17" t="s">
        <v>305</v>
      </c>
      <c r="M17" t="s">
        <v>253</v>
      </c>
      <c r="N17" s="132">
        <f>_xlfn.XLOOKUP(Baukon_alle_A4_join[[#This Row],[Transport.Transport-Modus]],LeitRess_Materialien[Name],LeitRess_Materialien[RMI '[kg Primärrohstoffe / kg']])*Baukon_alle_A4_join[[#This Row],[Transportdistanz.Voreinstellung]]*Baukon_alle_A4_join[[#This Row],[Masse '[kg/m²'] Referenz]]</f>
        <v>3.1407890585149825</v>
      </c>
      <c r="O17" s="132">
        <f>_xlfn.XLOOKUP(Baukon_alle_A4_join[[#This Row],[Transport.Transport-Modus]],LeitRess_Materialien[Name],LeitRess_Materialien[RMI '[kg Primärrohstoffe / kg']])*Baukon_alle_A4_join[[#This Row],[Transportdistanz.Voreinstellung]]*Baukon_alle_A4_join[[#This Row],[Masse '[kg/m²'] min]]</f>
        <v>3.1407890585149825</v>
      </c>
      <c r="P17" s="132">
        <f>_xlfn.XLOOKUP(Baukon_alle_A4_join[[#This Row],[Transport.Transport-Modus]],LeitRess_Materialien[Name],LeitRess_Materialien[RMI '[kg Primärrohstoffe / kg']])*Baukon_alle_A4_join[[#This Row],[Transportdistanz.Voreinstellung]]*Baukon_alle_A4_join[[#This Row],[Masse '[kg/m²'] max]]</f>
        <v>3.1407890585149825</v>
      </c>
      <c r="Q17" s="132">
        <f>_xlfn.XLOOKUP(Baukon_alle_A4_join[[#This Row],[Transport.Transport-Modus]],LeitRess_Materialien[Name],LeitRess_Materialien[TMR '[kg Gesamtmaterialaufwand/kg']])*Baukon_alle_A4_join[[#This Row],[Transportdistanz.Voreinstellung]]*Baukon_alle_A4_join[[#This Row],[Masse '[kg/m²'] Referenz]]</f>
        <v>3.743339703826122</v>
      </c>
      <c r="R17" s="132">
        <f>_xlfn.XLOOKUP(Baukon_alle_A4_join[[#This Row],[Transport.Transport-Modus]],LeitRess_Materialien[Name],LeitRess_Materialien[TMR '[kg Gesamtmaterialaufwand/kg']])*Baukon_alle_A4_join[[#This Row],[Transportdistanz.Voreinstellung]]*Baukon_alle_A4_join[[#This Row],[Masse '[kg/m²'] min]]</f>
        <v>3.743339703826122</v>
      </c>
      <c r="S17" s="132">
        <f>_xlfn.XLOOKUP(Baukon_alle_A4_join[[#This Row],[Transport.Transport-Modus]],LeitRess_Materialien[Name],LeitRess_Materialien[TMR '[kg Gesamtmaterialaufwand/kg']])*Baukon_alle_A4_join[[#This Row],[Transportdistanz.Voreinstellung]]*Baukon_alle_A4_join[[#This Row],[Masse '[kg/m²'] max]]</f>
        <v>3.743339703826122</v>
      </c>
      <c r="T17" s="132">
        <f>_xlfn.XLOOKUP(Baukon_alle_A4_join[[#This Row],[Transport.Transport-Modus]],LeitRess_Materialien[Name],LeitRess_Materialien[GWP '[kg CO2-Äqu./kg']])*Baukon_alle_A4_join[[#This Row],[Transportdistanz.Voreinstellung]]*Baukon_alle_A4_join[[#This Row],[Masse '[kg/m²'] Referenz]]</f>
        <v>3.4844774045609697</v>
      </c>
      <c r="U17" s="132">
        <f>_xlfn.XLOOKUP(Baukon_alle_A4_join[[#This Row],[Transport.Transport-Modus]],LeitRess_Materialien[Name],LeitRess_Materialien[GWP '[kg CO2-Äqu./kg']])*Baukon_alle_A4_join[[#This Row],[Transportdistanz.Voreinstellung]]*Baukon_alle_A4_join[[#This Row],[Masse '[kg/m²'] min]]</f>
        <v>3.4844774045609697</v>
      </c>
      <c r="V17" s="132">
        <f>_xlfn.XLOOKUP(Baukon_alle_A4_join[[#This Row],[Transport.Transport-Modus]],LeitRess_Materialien[Name],LeitRess_Materialien[GWP '[kg CO2-Äqu./kg']])*Baukon_alle_A4_join[[#This Row],[Transportdistanz.Voreinstellung]]*Baukon_alle_A4_join[[#This Row],[Masse '[kg/m²'] max]]</f>
        <v>3.4844774045609697</v>
      </c>
      <c r="W17" s="132">
        <f>_xlfn.XLOOKUP(Baukon_alle_A4_join[[#This Row],[Transport.Transport-Modus]],LeitRess_Materialien[Name],LeitRess_Materialien[PENRT '[MJ/kg']])*Baukon_alle_A4_join[[#This Row],[Transportdistanz.Voreinstellung]]*Baukon_alle_A4_join[[#This Row],[Masse '[kg/m²'] Referenz]]</f>
        <v>21.740488343999999</v>
      </c>
      <c r="X17" s="132">
        <f>_xlfn.XLOOKUP(Baukon_alle_A4_join[[#This Row],[Transport.Transport-Modus]],LeitRess_Materialien[Name],LeitRess_Materialien[PENRT '[MJ/kg']])*Baukon_alle_A4_join[[#This Row],[Transportdistanz.Voreinstellung]]*Baukon_alle_A4_join[[#This Row],[Masse '[kg/m²'] min]]</f>
        <v>21.740488343999999</v>
      </c>
      <c r="Y17" s="132">
        <f>_xlfn.XLOOKUP(Baukon_alle_A4_join[[#This Row],[Transport.Transport-Modus]],LeitRess_Materialien[Name],LeitRess_Materialien[PENRT '[MJ/kg']])*Baukon_alle_A4_join[[#This Row],[Transportdistanz.Voreinstellung]]*Baukon_alle_A4_join[[#This Row],[Masse '[kg/m²'] max]]</f>
        <v>21.740488343999999</v>
      </c>
      <c r="Z17" s="132">
        <f>_xlfn.XLOOKUP(Baukon_alle_A4_join[[#This Row],[Transport.Transport-Modus]],LeitRess_Materialien[Name],LeitRess_Materialien[WDP '[m³ weighted water/kg']])*Baukon_alle_A4_join[[#This Row],[Transportdistanz.Voreinstellung]]*Baukon_alle_A4_join[[#This Row],[Masse '[kg/m²'] Referenz]]</f>
        <v>0.23643678771020518</v>
      </c>
      <c r="AA17" s="132">
        <f>_xlfn.XLOOKUP(Baukon_alle_A4_join[[#This Row],[Transport.Transport-Modus]],LeitRess_Materialien[Name],LeitRess_Materialien[WDP '[m³ weighted water/kg']])*Baukon_alle_A4_join[[#This Row],[Transportdistanz.Voreinstellung]]*Baukon_alle_A4_join[[#This Row],[Masse '[kg/m²'] min]]</f>
        <v>0.23643678771020518</v>
      </c>
      <c r="AB17" s="132">
        <f>_xlfn.XLOOKUP(Baukon_alle_A4_join[[#This Row],[Transport.Transport-Modus]],LeitRess_Materialien[Name],LeitRess_Materialien[WDP '[m³ weighted water/kg']])*Baukon_alle_A4_join[[#This Row],[Transportdistanz.Voreinstellung]]*Baukon_alle_A4_join[[#This Row],[Masse '[kg/m²'] max]]</f>
        <v>0.23643678771020518</v>
      </c>
      <c r="AC17"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5.7892165874644111E-4</v>
      </c>
      <c r="AD17"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5.7892165874644111E-4</v>
      </c>
      <c r="AE17"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5.7892165874644111E-4</v>
      </c>
    </row>
    <row r="18" spans="1:31" x14ac:dyDescent="0.45">
      <c r="A18" t="s">
        <v>53</v>
      </c>
      <c r="B18" t="s">
        <v>306</v>
      </c>
      <c r="C18" t="s">
        <v>303</v>
      </c>
      <c r="D18" t="s">
        <v>71</v>
      </c>
      <c r="E18" t="s">
        <v>321</v>
      </c>
      <c r="F18" t="s">
        <v>256</v>
      </c>
      <c r="G18">
        <v>360</v>
      </c>
      <c r="H18">
        <v>360</v>
      </c>
      <c r="I18">
        <v>360</v>
      </c>
      <c r="K18" t="s">
        <v>17</v>
      </c>
      <c r="L18" t="s">
        <v>305</v>
      </c>
      <c r="M18" t="s">
        <v>253</v>
      </c>
      <c r="N18" s="132">
        <f>_xlfn.XLOOKUP(Baukon_alle_A4_join[[#This Row],[Transport.Transport-Modus]],LeitRess_Materialien[Name],LeitRess_Materialien[RMI '[kg Primärrohstoffe / kg']])*Baukon_alle_A4_join[[#This Row],[Transportdistanz.Voreinstellung]]*Baukon_alle_A4_join[[#This Row],[Masse '[kg/m²'] Referenz]]</f>
        <v>3.1407890585149825</v>
      </c>
      <c r="O18" s="132">
        <f>_xlfn.XLOOKUP(Baukon_alle_A4_join[[#This Row],[Transport.Transport-Modus]],LeitRess_Materialien[Name],LeitRess_Materialien[RMI '[kg Primärrohstoffe / kg']])*Baukon_alle_A4_join[[#This Row],[Transportdistanz.Voreinstellung]]*Baukon_alle_A4_join[[#This Row],[Masse '[kg/m²'] min]]</f>
        <v>3.1407890585149825</v>
      </c>
      <c r="P18" s="132">
        <f>_xlfn.XLOOKUP(Baukon_alle_A4_join[[#This Row],[Transport.Transport-Modus]],LeitRess_Materialien[Name],LeitRess_Materialien[RMI '[kg Primärrohstoffe / kg']])*Baukon_alle_A4_join[[#This Row],[Transportdistanz.Voreinstellung]]*Baukon_alle_A4_join[[#This Row],[Masse '[kg/m²'] max]]</f>
        <v>3.1407890585149825</v>
      </c>
      <c r="Q18" s="132">
        <f>_xlfn.XLOOKUP(Baukon_alle_A4_join[[#This Row],[Transport.Transport-Modus]],LeitRess_Materialien[Name],LeitRess_Materialien[TMR '[kg Gesamtmaterialaufwand/kg']])*Baukon_alle_A4_join[[#This Row],[Transportdistanz.Voreinstellung]]*Baukon_alle_A4_join[[#This Row],[Masse '[kg/m²'] Referenz]]</f>
        <v>3.743339703826122</v>
      </c>
      <c r="R18" s="132">
        <f>_xlfn.XLOOKUP(Baukon_alle_A4_join[[#This Row],[Transport.Transport-Modus]],LeitRess_Materialien[Name],LeitRess_Materialien[TMR '[kg Gesamtmaterialaufwand/kg']])*Baukon_alle_A4_join[[#This Row],[Transportdistanz.Voreinstellung]]*Baukon_alle_A4_join[[#This Row],[Masse '[kg/m²'] min]]</f>
        <v>3.743339703826122</v>
      </c>
      <c r="S18" s="132">
        <f>_xlfn.XLOOKUP(Baukon_alle_A4_join[[#This Row],[Transport.Transport-Modus]],LeitRess_Materialien[Name],LeitRess_Materialien[TMR '[kg Gesamtmaterialaufwand/kg']])*Baukon_alle_A4_join[[#This Row],[Transportdistanz.Voreinstellung]]*Baukon_alle_A4_join[[#This Row],[Masse '[kg/m²'] max]]</f>
        <v>3.743339703826122</v>
      </c>
      <c r="T18" s="132">
        <f>_xlfn.XLOOKUP(Baukon_alle_A4_join[[#This Row],[Transport.Transport-Modus]],LeitRess_Materialien[Name],LeitRess_Materialien[GWP '[kg CO2-Äqu./kg']])*Baukon_alle_A4_join[[#This Row],[Transportdistanz.Voreinstellung]]*Baukon_alle_A4_join[[#This Row],[Masse '[kg/m²'] Referenz]]</f>
        <v>3.4844774045609697</v>
      </c>
      <c r="U18" s="132">
        <f>_xlfn.XLOOKUP(Baukon_alle_A4_join[[#This Row],[Transport.Transport-Modus]],LeitRess_Materialien[Name],LeitRess_Materialien[GWP '[kg CO2-Äqu./kg']])*Baukon_alle_A4_join[[#This Row],[Transportdistanz.Voreinstellung]]*Baukon_alle_A4_join[[#This Row],[Masse '[kg/m²'] min]]</f>
        <v>3.4844774045609697</v>
      </c>
      <c r="V18" s="132">
        <f>_xlfn.XLOOKUP(Baukon_alle_A4_join[[#This Row],[Transport.Transport-Modus]],LeitRess_Materialien[Name],LeitRess_Materialien[GWP '[kg CO2-Äqu./kg']])*Baukon_alle_A4_join[[#This Row],[Transportdistanz.Voreinstellung]]*Baukon_alle_A4_join[[#This Row],[Masse '[kg/m²'] max]]</f>
        <v>3.4844774045609697</v>
      </c>
      <c r="W18" s="132">
        <f>_xlfn.XLOOKUP(Baukon_alle_A4_join[[#This Row],[Transport.Transport-Modus]],LeitRess_Materialien[Name],LeitRess_Materialien[PENRT '[MJ/kg']])*Baukon_alle_A4_join[[#This Row],[Transportdistanz.Voreinstellung]]*Baukon_alle_A4_join[[#This Row],[Masse '[kg/m²'] Referenz]]</f>
        <v>21.740488343999999</v>
      </c>
      <c r="X18" s="132">
        <f>_xlfn.XLOOKUP(Baukon_alle_A4_join[[#This Row],[Transport.Transport-Modus]],LeitRess_Materialien[Name],LeitRess_Materialien[PENRT '[MJ/kg']])*Baukon_alle_A4_join[[#This Row],[Transportdistanz.Voreinstellung]]*Baukon_alle_A4_join[[#This Row],[Masse '[kg/m²'] min]]</f>
        <v>21.740488343999999</v>
      </c>
      <c r="Y18" s="132">
        <f>_xlfn.XLOOKUP(Baukon_alle_A4_join[[#This Row],[Transport.Transport-Modus]],LeitRess_Materialien[Name],LeitRess_Materialien[PENRT '[MJ/kg']])*Baukon_alle_A4_join[[#This Row],[Transportdistanz.Voreinstellung]]*Baukon_alle_A4_join[[#This Row],[Masse '[kg/m²'] max]]</f>
        <v>21.740488343999999</v>
      </c>
      <c r="Z18" s="132">
        <f>_xlfn.XLOOKUP(Baukon_alle_A4_join[[#This Row],[Transport.Transport-Modus]],LeitRess_Materialien[Name],LeitRess_Materialien[WDP '[m³ weighted water/kg']])*Baukon_alle_A4_join[[#This Row],[Transportdistanz.Voreinstellung]]*Baukon_alle_A4_join[[#This Row],[Masse '[kg/m²'] Referenz]]</f>
        <v>0.23643678771020518</v>
      </c>
      <c r="AA18" s="132">
        <f>_xlfn.XLOOKUP(Baukon_alle_A4_join[[#This Row],[Transport.Transport-Modus]],LeitRess_Materialien[Name],LeitRess_Materialien[WDP '[m³ weighted water/kg']])*Baukon_alle_A4_join[[#This Row],[Transportdistanz.Voreinstellung]]*Baukon_alle_A4_join[[#This Row],[Masse '[kg/m²'] min]]</f>
        <v>0.23643678771020518</v>
      </c>
      <c r="AB18" s="132">
        <f>_xlfn.XLOOKUP(Baukon_alle_A4_join[[#This Row],[Transport.Transport-Modus]],LeitRess_Materialien[Name],LeitRess_Materialien[WDP '[m³ weighted water/kg']])*Baukon_alle_A4_join[[#This Row],[Transportdistanz.Voreinstellung]]*Baukon_alle_A4_join[[#This Row],[Masse '[kg/m²'] max]]</f>
        <v>0.23643678771020518</v>
      </c>
      <c r="AC18"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5.7892165874644111E-4</v>
      </c>
      <c r="AD18"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5.7892165874644111E-4</v>
      </c>
      <c r="AE18"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5.7892165874644111E-4</v>
      </c>
    </row>
    <row r="19" spans="1:31" x14ac:dyDescent="0.45">
      <c r="A19" t="s">
        <v>110</v>
      </c>
      <c r="B19" t="s">
        <v>318</v>
      </c>
      <c r="C19" t="s">
        <v>312</v>
      </c>
      <c r="D19" t="s">
        <v>116</v>
      </c>
      <c r="E19" t="s">
        <v>321</v>
      </c>
      <c r="F19" t="s">
        <v>256</v>
      </c>
      <c r="G19">
        <v>144</v>
      </c>
      <c r="H19">
        <v>144</v>
      </c>
      <c r="I19">
        <v>144</v>
      </c>
      <c r="K19" t="s">
        <v>17</v>
      </c>
      <c r="L19" t="s">
        <v>305</v>
      </c>
      <c r="M19" t="s">
        <v>253</v>
      </c>
      <c r="N19" s="132">
        <f>_xlfn.XLOOKUP(Baukon_alle_A4_join[[#This Row],[Transport.Transport-Modus]],LeitRess_Materialien[Name],LeitRess_Materialien[RMI '[kg Primärrohstoffe / kg']])*Baukon_alle_A4_join[[#This Row],[Transportdistanz.Voreinstellung]]*Baukon_alle_A4_join[[#This Row],[Masse '[kg/m²'] Referenz]]</f>
        <v>1.2563156234059931</v>
      </c>
      <c r="O19" s="132">
        <f>_xlfn.XLOOKUP(Baukon_alle_A4_join[[#This Row],[Transport.Transport-Modus]],LeitRess_Materialien[Name],LeitRess_Materialien[RMI '[kg Primärrohstoffe / kg']])*Baukon_alle_A4_join[[#This Row],[Transportdistanz.Voreinstellung]]*Baukon_alle_A4_join[[#This Row],[Masse '[kg/m²'] min]]</f>
        <v>1.2563156234059931</v>
      </c>
      <c r="P19" s="132">
        <f>_xlfn.XLOOKUP(Baukon_alle_A4_join[[#This Row],[Transport.Transport-Modus]],LeitRess_Materialien[Name],LeitRess_Materialien[RMI '[kg Primärrohstoffe / kg']])*Baukon_alle_A4_join[[#This Row],[Transportdistanz.Voreinstellung]]*Baukon_alle_A4_join[[#This Row],[Masse '[kg/m²'] max]]</f>
        <v>1.2563156234059931</v>
      </c>
      <c r="Q19" s="132">
        <f>_xlfn.XLOOKUP(Baukon_alle_A4_join[[#This Row],[Transport.Transport-Modus]],LeitRess_Materialien[Name],LeitRess_Materialien[TMR '[kg Gesamtmaterialaufwand/kg']])*Baukon_alle_A4_join[[#This Row],[Transportdistanz.Voreinstellung]]*Baukon_alle_A4_join[[#This Row],[Masse '[kg/m²'] Referenz]]</f>
        <v>1.4973358815304487</v>
      </c>
      <c r="R19" s="132">
        <f>_xlfn.XLOOKUP(Baukon_alle_A4_join[[#This Row],[Transport.Transport-Modus]],LeitRess_Materialien[Name],LeitRess_Materialien[TMR '[kg Gesamtmaterialaufwand/kg']])*Baukon_alle_A4_join[[#This Row],[Transportdistanz.Voreinstellung]]*Baukon_alle_A4_join[[#This Row],[Masse '[kg/m²'] min]]</f>
        <v>1.4973358815304487</v>
      </c>
      <c r="S19" s="132">
        <f>_xlfn.XLOOKUP(Baukon_alle_A4_join[[#This Row],[Transport.Transport-Modus]],LeitRess_Materialien[Name],LeitRess_Materialien[TMR '[kg Gesamtmaterialaufwand/kg']])*Baukon_alle_A4_join[[#This Row],[Transportdistanz.Voreinstellung]]*Baukon_alle_A4_join[[#This Row],[Masse '[kg/m²'] max]]</f>
        <v>1.4973358815304487</v>
      </c>
      <c r="T19" s="132">
        <f>_xlfn.XLOOKUP(Baukon_alle_A4_join[[#This Row],[Transport.Transport-Modus]],LeitRess_Materialien[Name],LeitRess_Materialien[GWP '[kg CO2-Äqu./kg']])*Baukon_alle_A4_join[[#This Row],[Transportdistanz.Voreinstellung]]*Baukon_alle_A4_join[[#This Row],[Masse '[kg/m²'] Referenz]]</f>
        <v>1.393790961824388</v>
      </c>
      <c r="U19" s="132">
        <f>_xlfn.XLOOKUP(Baukon_alle_A4_join[[#This Row],[Transport.Transport-Modus]],LeitRess_Materialien[Name],LeitRess_Materialien[GWP '[kg CO2-Äqu./kg']])*Baukon_alle_A4_join[[#This Row],[Transportdistanz.Voreinstellung]]*Baukon_alle_A4_join[[#This Row],[Masse '[kg/m²'] min]]</f>
        <v>1.393790961824388</v>
      </c>
      <c r="V19" s="132">
        <f>_xlfn.XLOOKUP(Baukon_alle_A4_join[[#This Row],[Transport.Transport-Modus]],LeitRess_Materialien[Name],LeitRess_Materialien[GWP '[kg CO2-Äqu./kg']])*Baukon_alle_A4_join[[#This Row],[Transportdistanz.Voreinstellung]]*Baukon_alle_A4_join[[#This Row],[Masse '[kg/m²'] max]]</f>
        <v>1.393790961824388</v>
      </c>
      <c r="W19" s="132">
        <f>_xlfn.XLOOKUP(Baukon_alle_A4_join[[#This Row],[Transport.Transport-Modus]],LeitRess_Materialien[Name],LeitRess_Materialien[PENRT '[MJ/kg']])*Baukon_alle_A4_join[[#This Row],[Transportdistanz.Voreinstellung]]*Baukon_alle_A4_join[[#This Row],[Masse '[kg/m²'] Referenz]]</f>
        <v>8.696195337599999</v>
      </c>
      <c r="X19" s="132">
        <f>_xlfn.XLOOKUP(Baukon_alle_A4_join[[#This Row],[Transport.Transport-Modus]],LeitRess_Materialien[Name],LeitRess_Materialien[PENRT '[MJ/kg']])*Baukon_alle_A4_join[[#This Row],[Transportdistanz.Voreinstellung]]*Baukon_alle_A4_join[[#This Row],[Masse '[kg/m²'] min]]</f>
        <v>8.696195337599999</v>
      </c>
      <c r="Y19" s="132">
        <f>_xlfn.XLOOKUP(Baukon_alle_A4_join[[#This Row],[Transport.Transport-Modus]],LeitRess_Materialien[Name],LeitRess_Materialien[PENRT '[MJ/kg']])*Baukon_alle_A4_join[[#This Row],[Transportdistanz.Voreinstellung]]*Baukon_alle_A4_join[[#This Row],[Masse '[kg/m²'] max]]</f>
        <v>8.696195337599999</v>
      </c>
      <c r="Z19" s="132">
        <f>_xlfn.XLOOKUP(Baukon_alle_A4_join[[#This Row],[Transport.Transport-Modus]],LeitRess_Materialien[Name],LeitRess_Materialien[WDP '[m³ weighted water/kg']])*Baukon_alle_A4_join[[#This Row],[Transportdistanz.Voreinstellung]]*Baukon_alle_A4_join[[#This Row],[Masse '[kg/m²'] Referenz]]</f>
        <v>9.4574715084082078E-2</v>
      </c>
      <c r="AA19" s="132">
        <f>_xlfn.XLOOKUP(Baukon_alle_A4_join[[#This Row],[Transport.Transport-Modus]],LeitRess_Materialien[Name],LeitRess_Materialien[WDP '[m³ weighted water/kg']])*Baukon_alle_A4_join[[#This Row],[Transportdistanz.Voreinstellung]]*Baukon_alle_A4_join[[#This Row],[Masse '[kg/m²'] min]]</f>
        <v>9.4574715084082078E-2</v>
      </c>
      <c r="AB19" s="132">
        <f>_xlfn.XLOOKUP(Baukon_alle_A4_join[[#This Row],[Transport.Transport-Modus]],LeitRess_Materialien[Name],LeitRess_Materialien[WDP '[m³ weighted water/kg']])*Baukon_alle_A4_join[[#This Row],[Transportdistanz.Voreinstellung]]*Baukon_alle_A4_join[[#This Row],[Masse '[kg/m²'] max]]</f>
        <v>9.4574715084082078E-2</v>
      </c>
      <c r="AC19"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2.3156866349857645E-4</v>
      </c>
      <c r="AD19"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2.3156866349857645E-4</v>
      </c>
      <c r="AE19"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2.3156866349857645E-4</v>
      </c>
    </row>
    <row r="20" spans="1:31" x14ac:dyDescent="0.45">
      <c r="A20" t="s">
        <v>53</v>
      </c>
      <c r="B20" t="s">
        <v>302</v>
      </c>
      <c r="C20" t="s">
        <v>303</v>
      </c>
      <c r="D20" t="s">
        <v>86</v>
      </c>
      <c r="E20" t="s">
        <v>322</v>
      </c>
      <c r="F20" t="s">
        <v>229</v>
      </c>
      <c r="G20">
        <v>18.12</v>
      </c>
      <c r="H20">
        <v>18.12</v>
      </c>
      <c r="I20">
        <v>18.12</v>
      </c>
      <c r="K20" t="s">
        <v>17</v>
      </c>
      <c r="L20" t="s">
        <v>305</v>
      </c>
      <c r="M20" t="s">
        <v>253</v>
      </c>
      <c r="N20" s="132">
        <f>_xlfn.XLOOKUP(Baukon_alle_A4_join[[#This Row],[Transport.Transport-Modus]],LeitRess_Materialien[Name],LeitRess_Materialien[RMI '[kg Primärrohstoffe / kg']])*Baukon_alle_A4_join[[#This Row],[Transportdistanz.Voreinstellung]]*Baukon_alle_A4_join[[#This Row],[Masse '[kg/m²'] Referenz]]</f>
        <v>0.15808638261192079</v>
      </c>
      <c r="O20" s="132">
        <f>_xlfn.XLOOKUP(Baukon_alle_A4_join[[#This Row],[Transport.Transport-Modus]],LeitRess_Materialien[Name],LeitRess_Materialien[RMI '[kg Primärrohstoffe / kg']])*Baukon_alle_A4_join[[#This Row],[Transportdistanz.Voreinstellung]]*Baukon_alle_A4_join[[#This Row],[Masse '[kg/m²'] min]]</f>
        <v>0.15808638261192079</v>
      </c>
      <c r="P20" s="132">
        <f>_xlfn.XLOOKUP(Baukon_alle_A4_join[[#This Row],[Transport.Transport-Modus]],LeitRess_Materialien[Name],LeitRess_Materialien[RMI '[kg Primärrohstoffe / kg']])*Baukon_alle_A4_join[[#This Row],[Transportdistanz.Voreinstellung]]*Baukon_alle_A4_join[[#This Row],[Masse '[kg/m²'] max]]</f>
        <v>0.15808638261192079</v>
      </c>
      <c r="Q20" s="132">
        <f>_xlfn.XLOOKUP(Baukon_alle_A4_join[[#This Row],[Transport.Transport-Modus]],LeitRess_Materialien[Name],LeitRess_Materialien[TMR '[kg Gesamtmaterialaufwand/kg']])*Baukon_alle_A4_join[[#This Row],[Transportdistanz.Voreinstellung]]*Baukon_alle_A4_join[[#This Row],[Masse '[kg/m²'] Referenz]]</f>
        <v>0.18841476509258148</v>
      </c>
      <c r="R20" s="132">
        <f>_xlfn.XLOOKUP(Baukon_alle_A4_join[[#This Row],[Transport.Transport-Modus]],LeitRess_Materialien[Name],LeitRess_Materialien[TMR '[kg Gesamtmaterialaufwand/kg']])*Baukon_alle_A4_join[[#This Row],[Transportdistanz.Voreinstellung]]*Baukon_alle_A4_join[[#This Row],[Masse '[kg/m²'] min]]</f>
        <v>0.18841476509258148</v>
      </c>
      <c r="S20" s="132">
        <f>_xlfn.XLOOKUP(Baukon_alle_A4_join[[#This Row],[Transport.Transport-Modus]],LeitRess_Materialien[Name],LeitRess_Materialien[TMR '[kg Gesamtmaterialaufwand/kg']])*Baukon_alle_A4_join[[#This Row],[Transportdistanz.Voreinstellung]]*Baukon_alle_A4_join[[#This Row],[Masse '[kg/m²'] max]]</f>
        <v>0.18841476509258148</v>
      </c>
      <c r="T20" s="132">
        <f>_xlfn.XLOOKUP(Baukon_alle_A4_join[[#This Row],[Transport.Transport-Modus]],LeitRess_Materialien[Name],LeitRess_Materialien[GWP '[kg CO2-Äqu./kg']])*Baukon_alle_A4_join[[#This Row],[Transportdistanz.Voreinstellung]]*Baukon_alle_A4_join[[#This Row],[Masse '[kg/m²'] Referenz]]</f>
        <v>0.1753853626962355</v>
      </c>
      <c r="U20" s="132">
        <f>_xlfn.XLOOKUP(Baukon_alle_A4_join[[#This Row],[Transport.Transport-Modus]],LeitRess_Materialien[Name],LeitRess_Materialien[GWP '[kg CO2-Äqu./kg']])*Baukon_alle_A4_join[[#This Row],[Transportdistanz.Voreinstellung]]*Baukon_alle_A4_join[[#This Row],[Masse '[kg/m²'] min]]</f>
        <v>0.1753853626962355</v>
      </c>
      <c r="V20" s="132">
        <f>_xlfn.XLOOKUP(Baukon_alle_A4_join[[#This Row],[Transport.Transport-Modus]],LeitRess_Materialien[Name],LeitRess_Materialien[GWP '[kg CO2-Äqu./kg']])*Baukon_alle_A4_join[[#This Row],[Transportdistanz.Voreinstellung]]*Baukon_alle_A4_join[[#This Row],[Masse '[kg/m²'] max]]</f>
        <v>0.1753853626962355</v>
      </c>
      <c r="W20" s="132">
        <f>_xlfn.XLOOKUP(Baukon_alle_A4_join[[#This Row],[Transport.Transport-Modus]],LeitRess_Materialien[Name],LeitRess_Materialien[PENRT '[MJ/kg']])*Baukon_alle_A4_join[[#This Row],[Transportdistanz.Voreinstellung]]*Baukon_alle_A4_join[[#This Row],[Masse '[kg/m²'] Referenz]]</f>
        <v>1.094271246648</v>
      </c>
      <c r="X20" s="132">
        <f>_xlfn.XLOOKUP(Baukon_alle_A4_join[[#This Row],[Transport.Transport-Modus]],LeitRess_Materialien[Name],LeitRess_Materialien[PENRT '[MJ/kg']])*Baukon_alle_A4_join[[#This Row],[Transportdistanz.Voreinstellung]]*Baukon_alle_A4_join[[#This Row],[Masse '[kg/m²'] min]]</f>
        <v>1.094271246648</v>
      </c>
      <c r="Y20" s="132">
        <f>_xlfn.XLOOKUP(Baukon_alle_A4_join[[#This Row],[Transport.Transport-Modus]],LeitRess_Materialien[Name],LeitRess_Materialien[PENRT '[MJ/kg']])*Baukon_alle_A4_join[[#This Row],[Transportdistanz.Voreinstellung]]*Baukon_alle_A4_join[[#This Row],[Masse '[kg/m²'] max]]</f>
        <v>1.094271246648</v>
      </c>
      <c r="Z20" s="132">
        <f>_xlfn.XLOOKUP(Baukon_alle_A4_join[[#This Row],[Transport.Transport-Modus]],LeitRess_Materialien[Name],LeitRess_Materialien[WDP '[m³ weighted water/kg']])*Baukon_alle_A4_join[[#This Row],[Transportdistanz.Voreinstellung]]*Baukon_alle_A4_join[[#This Row],[Masse '[kg/m²'] Referenz]]</f>
        <v>1.1900651648080329E-2</v>
      </c>
      <c r="AA20" s="132">
        <f>_xlfn.XLOOKUP(Baukon_alle_A4_join[[#This Row],[Transport.Transport-Modus]],LeitRess_Materialien[Name],LeitRess_Materialien[WDP '[m³ weighted water/kg']])*Baukon_alle_A4_join[[#This Row],[Transportdistanz.Voreinstellung]]*Baukon_alle_A4_join[[#This Row],[Masse '[kg/m²'] min]]</f>
        <v>1.1900651648080329E-2</v>
      </c>
      <c r="AB20" s="132">
        <f>_xlfn.XLOOKUP(Baukon_alle_A4_join[[#This Row],[Transport.Transport-Modus]],LeitRess_Materialien[Name],LeitRess_Materialien[WDP '[m³ weighted water/kg']])*Baukon_alle_A4_join[[#This Row],[Transportdistanz.Voreinstellung]]*Baukon_alle_A4_join[[#This Row],[Masse '[kg/m²'] max]]</f>
        <v>1.1900651648080329E-2</v>
      </c>
      <c r="AC20"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2.9139056823570876E-5</v>
      </c>
      <c r="AD20"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2.9139056823570876E-5</v>
      </c>
      <c r="AE20"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2.9139056823570876E-5</v>
      </c>
    </row>
    <row r="21" spans="1:31" x14ac:dyDescent="0.45">
      <c r="A21" t="s">
        <v>53</v>
      </c>
      <c r="B21" t="s">
        <v>306</v>
      </c>
      <c r="C21" t="s">
        <v>303</v>
      </c>
      <c r="D21" t="s">
        <v>71</v>
      </c>
      <c r="E21" t="s">
        <v>322</v>
      </c>
      <c r="F21" t="s">
        <v>229</v>
      </c>
      <c r="G21">
        <v>18.12</v>
      </c>
      <c r="H21">
        <v>18.12</v>
      </c>
      <c r="I21">
        <v>18.12</v>
      </c>
      <c r="K21" t="s">
        <v>17</v>
      </c>
      <c r="L21" t="s">
        <v>305</v>
      </c>
      <c r="M21" t="s">
        <v>253</v>
      </c>
      <c r="N21" s="132">
        <f>_xlfn.XLOOKUP(Baukon_alle_A4_join[[#This Row],[Transport.Transport-Modus]],LeitRess_Materialien[Name],LeitRess_Materialien[RMI '[kg Primärrohstoffe / kg']])*Baukon_alle_A4_join[[#This Row],[Transportdistanz.Voreinstellung]]*Baukon_alle_A4_join[[#This Row],[Masse '[kg/m²'] Referenz]]</f>
        <v>0.15808638261192079</v>
      </c>
      <c r="O21" s="132">
        <f>_xlfn.XLOOKUP(Baukon_alle_A4_join[[#This Row],[Transport.Transport-Modus]],LeitRess_Materialien[Name],LeitRess_Materialien[RMI '[kg Primärrohstoffe / kg']])*Baukon_alle_A4_join[[#This Row],[Transportdistanz.Voreinstellung]]*Baukon_alle_A4_join[[#This Row],[Masse '[kg/m²'] min]]</f>
        <v>0.15808638261192079</v>
      </c>
      <c r="P21" s="132">
        <f>_xlfn.XLOOKUP(Baukon_alle_A4_join[[#This Row],[Transport.Transport-Modus]],LeitRess_Materialien[Name],LeitRess_Materialien[RMI '[kg Primärrohstoffe / kg']])*Baukon_alle_A4_join[[#This Row],[Transportdistanz.Voreinstellung]]*Baukon_alle_A4_join[[#This Row],[Masse '[kg/m²'] max]]</f>
        <v>0.15808638261192079</v>
      </c>
      <c r="Q21" s="132">
        <f>_xlfn.XLOOKUP(Baukon_alle_A4_join[[#This Row],[Transport.Transport-Modus]],LeitRess_Materialien[Name],LeitRess_Materialien[TMR '[kg Gesamtmaterialaufwand/kg']])*Baukon_alle_A4_join[[#This Row],[Transportdistanz.Voreinstellung]]*Baukon_alle_A4_join[[#This Row],[Masse '[kg/m²'] Referenz]]</f>
        <v>0.18841476509258148</v>
      </c>
      <c r="R21" s="132">
        <f>_xlfn.XLOOKUP(Baukon_alle_A4_join[[#This Row],[Transport.Transport-Modus]],LeitRess_Materialien[Name],LeitRess_Materialien[TMR '[kg Gesamtmaterialaufwand/kg']])*Baukon_alle_A4_join[[#This Row],[Transportdistanz.Voreinstellung]]*Baukon_alle_A4_join[[#This Row],[Masse '[kg/m²'] min]]</f>
        <v>0.18841476509258148</v>
      </c>
      <c r="S21" s="132">
        <f>_xlfn.XLOOKUP(Baukon_alle_A4_join[[#This Row],[Transport.Transport-Modus]],LeitRess_Materialien[Name],LeitRess_Materialien[TMR '[kg Gesamtmaterialaufwand/kg']])*Baukon_alle_A4_join[[#This Row],[Transportdistanz.Voreinstellung]]*Baukon_alle_A4_join[[#This Row],[Masse '[kg/m²'] max]]</f>
        <v>0.18841476509258148</v>
      </c>
      <c r="T21" s="132">
        <f>_xlfn.XLOOKUP(Baukon_alle_A4_join[[#This Row],[Transport.Transport-Modus]],LeitRess_Materialien[Name],LeitRess_Materialien[GWP '[kg CO2-Äqu./kg']])*Baukon_alle_A4_join[[#This Row],[Transportdistanz.Voreinstellung]]*Baukon_alle_A4_join[[#This Row],[Masse '[kg/m²'] Referenz]]</f>
        <v>0.1753853626962355</v>
      </c>
      <c r="U21" s="132">
        <f>_xlfn.XLOOKUP(Baukon_alle_A4_join[[#This Row],[Transport.Transport-Modus]],LeitRess_Materialien[Name],LeitRess_Materialien[GWP '[kg CO2-Äqu./kg']])*Baukon_alle_A4_join[[#This Row],[Transportdistanz.Voreinstellung]]*Baukon_alle_A4_join[[#This Row],[Masse '[kg/m²'] min]]</f>
        <v>0.1753853626962355</v>
      </c>
      <c r="V21" s="132">
        <f>_xlfn.XLOOKUP(Baukon_alle_A4_join[[#This Row],[Transport.Transport-Modus]],LeitRess_Materialien[Name],LeitRess_Materialien[GWP '[kg CO2-Äqu./kg']])*Baukon_alle_A4_join[[#This Row],[Transportdistanz.Voreinstellung]]*Baukon_alle_A4_join[[#This Row],[Masse '[kg/m²'] max]]</f>
        <v>0.1753853626962355</v>
      </c>
      <c r="W21" s="132">
        <f>_xlfn.XLOOKUP(Baukon_alle_A4_join[[#This Row],[Transport.Transport-Modus]],LeitRess_Materialien[Name],LeitRess_Materialien[PENRT '[MJ/kg']])*Baukon_alle_A4_join[[#This Row],[Transportdistanz.Voreinstellung]]*Baukon_alle_A4_join[[#This Row],[Masse '[kg/m²'] Referenz]]</f>
        <v>1.094271246648</v>
      </c>
      <c r="X21" s="132">
        <f>_xlfn.XLOOKUP(Baukon_alle_A4_join[[#This Row],[Transport.Transport-Modus]],LeitRess_Materialien[Name],LeitRess_Materialien[PENRT '[MJ/kg']])*Baukon_alle_A4_join[[#This Row],[Transportdistanz.Voreinstellung]]*Baukon_alle_A4_join[[#This Row],[Masse '[kg/m²'] min]]</f>
        <v>1.094271246648</v>
      </c>
      <c r="Y21" s="132">
        <f>_xlfn.XLOOKUP(Baukon_alle_A4_join[[#This Row],[Transport.Transport-Modus]],LeitRess_Materialien[Name],LeitRess_Materialien[PENRT '[MJ/kg']])*Baukon_alle_A4_join[[#This Row],[Transportdistanz.Voreinstellung]]*Baukon_alle_A4_join[[#This Row],[Masse '[kg/m²'] max]]</f>
        <v>1.094271246648</v>
      </c>
      <c r="Z21" s="132">
        <f>_xlfn.XLOOKUP(Baukon_alle_A4_join[[#This Row],[Transport.Transport-Modus]],LeitRess_Materialien[Name],LeitRess_Materialien[WDP '[m³ weighted water/kg']])*Baukon_alle_A4_join[[#This Row],[Transportdistanz.Voreinstellung]]*Baukon_alle_A4_join[[#This Row],[Masse '[kg/m²'] Referenz]]</f>
        <v>1.1900651648080329E-2</v>
      </c>
      <c r="AA21" s="132">
        <f>_xlfn.XLOOKUP(Baukon_alle_A4_join[[#This Row],[Transport.Transport-Modus]],LeitRess_Materialien[Name],LeitRess_Materialien[WDP '[m³ weighted water/kg']])*Baukon_alle_A4_join[[#This Row],[Transportdistanz.Voreinstellung]]*Baukon_alle_A4_join[[#This Row],[Masse '[kg/m²'] min]]</f>
        <v>1.1900651648080329E-2</v>
      </c>
      <c r="AB21" s="132">
        <f>_xlfn.XLOOKUP(Baukon_alle_A4_join[[#This Row],[Transport.Transport-Modus]],LeitRess_Materialien[Name],LeitRess_Materialien[WDP '[m³ weighted water/kg']])*Baukon_alle_A4_join[[#This Row],[Transportdistanz.Voreinstellung]]*Baukon_alle_A4_join[[#This Row],[Masse '[kg/m²'] max]]</f>
        <v>1.1900651648080329E-2</v>
      </c>
      <c r="AC21"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2.9139056823570876E-5</v>
      </c>
      <c r="AD21"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2.9139056823570876E-5</v>
      </c>
      <c r="AE21"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2.9139056823570876E-5</v>
      </c>
    </row>
    <row r="22" spans="1:31" x14ac:dyDescent="0.45">
      <c r="A22" t="s">
        <v>53</v>
      </c>
      <c r="B22" t="s">
        <v>302</v>
      </c>
      <c r="C22" t="s">
        <v>303</v>
      </c>
      <c r="D22" t="s">
        <v>86</v>
      </c>
      <c r="E22" t="s">
        <v>323</v>
      </c>
      <c r="F22" t="s">
        <v>279</v>
      </c>
      <c r="G22">
        <v>5.4</v>
      </c>
      <c r="H22">
        <v>5.4</v>
      </c>
      <c r="I22">
        <v>5.4</v>
      </c>
      <c r="K22" t="s">
        <v>17</v>
      </c>
      <c r="L22" t="s">
        <v>305</v>
      </c>
      <c r="M22" t="s">
        <v>253</v>
      </c>
      <c r="N22" s="132">
        <f>_xlfn.XLOOKUP(Baukon_alle_A4_join[[#This Row],[Transport.Transport-Modus]],LeitRess_Materialien[Name],LeitRess_Materialien[RMI '[kg Primärrohstoffe / kg']])*Baukon_alle_A4_join[[#This Row],[Transportdistanz.Voreinstellung]]*Baukon_alle_A4_join[[#This Row],[Masse '[kg/m²'] Referenz]]</f>
        <v>4.7111835877724745E-2</v>
      </c>
      <c r="O22" s="132">
        <f>_xlfn.XLOOKUP(Baukon_alle_A4_join[[#This Row],[Transport.Transport-Modus]],LeitRess_Materialien[Name],LeitRess_Materialien[RMI '[kg Primärrohstoffe / kg']])*Baukon_alle_A4_join[[#This Row],[Transportdistanz.Voreinstellung]]*Baukon_alle_A4_join[[#This Row],[Masse '[kg/m²'] min]]</f>
        <v>4.7111835877724745E-2</v>
      </c>
      <c r="P22" s="132">
        <f>_xlfn.XLOOKUP(Baukon_alle_A4_join[[#This Row],[Transport.Transport-Modus]],LeitRess_Materialien[Name],LeitRess_Materialien[RMI '[kg Primärrohstoffe / kg']])*Baukon_alle_A4_join[[#This Row],[Transportdistanz.Voreinstellung]]*Baukon_alle_A4_join[[#This Row],[Masse '[kg/m²'] max]]</f>
        <v>4.7111835877724745E-2</v>
      </c>
      <c r="Q22" s="132">
        <f>_xlfn.XLOOKUP(Baukon_alle_A4_join[[#This Row],[Transport.Transport-Modus]],LeitRess_Materialien[Name],LeitRess_Materialien[TMR '[kg Gesamtmaterialaufwand/kg']])*Baukon_alle_A4_join[[#This Row],[Transportdistanz.Voreinstellung]]*Baukon_alle_A4_join[[#This Row],[Masse '[kg/m²'] Referenz]]</f>
        <v>5.6150095557391838E-2</v>
      </c>
      <c r="R22" s="132">
        <f>_xlfn.XLOOKUP(Baukon_alle_A4_join[[#This Row],[Transport.Transport-Modus]],LeitRess_Materialien[Name],LeitRess_Materialien[TMR '[kg Gesamtmaterialaufwand/kg']])*Baukon_alle_A4_join[[#This Row],[Transportdistanz.Voreinstellung]]*Baukon_alle_A4_join[[#This Row],[Masse '[kg/m²'] min]]</f>
        <v>5.6150095557391838E-2</v>
      </c>
      <c r="S22" s="132">
        <f>_xlfn.XLOOKUP(Baukon_alle_A4_join[[#This Row],[Transport.Transport-Modus]],LeitRess_Materialien[Name],LeitRess_Materialien[TMR '[kg Gesamtmaterialaufwand/kg']])*Baukon_alle_A4_join[[#This Row],[Transportdistanz.Voreinstellung]]*Baukon_alle_A4_join[[#This Row],[Masse '[kg/m²'] max]]</f>
        <v>5.6150095557391838E-2</v>
      </c>
      <c r="T22" s="132">
        <f>_xlfn.XLOOKUP(Baukon_alle_A4_join[[#This Row],[Transport.Transport-Modus]],LeitRess_Materialien[Name],LeitRess_Materialien[GWP '[kg CO2-Äqu./kg']])*Baukon_alle_A4_join[[#This Row],[Transportdistanz.Voreinstellung]]*Baukon_alle_A4_join[[#This Row],[Masse '[kg/m²'] Referenz]]</f>
        <v>5.2267161068414551E-2</v>
      </c>
      <c r="U22" s="132">
        <f>_xlfn.XLOOKUP(Baukon_alle_A4_join[[#This Row],[Transport.Transport-Modus]],LeitRess_Materialien[Name],LeitRess_Materialien[GWP '[kg CO2-Äqu./kg']])*Baukon_alle_A4_join[[#This Row],[Transportdistanz.Voreinstellung]]*Baukon_alle_A4_join[[#This Row],[Masse '[kg/m²'] min]]</f>
        <v>5.2267161068414551E-2</v>
      </c>
      <c r="V22" s="132">
        <f>_xlfn.XLOOKUP(Baukon_alle_A4_join[[#This Row],[Transport.Transport-Modus]],LeitRess_Materialien[Name],LeitRess_Materialien[GWP '[kg CO2-Äqu./kg']])*Baukon_alle_A4_join[[#This Row],[Transportdistanz.Voreinstellung]]*Baukon_alle_A4_join[[#This Row],[Masse '[kg/m²'] max]]</f>
        <v>5.2267161068414551E-2</v>
      </c>
      <c r="W22" s="132">
        <f>_xlfn.XLOOKUP(Baukon_alle_A4_join[[#This Row],[Transport.Transport-Modus]],LeitRess_Materialien[Name],LeitRess_Materialien[PENRT '[MJ/kg']])*Baukon_alle_A4_join[[#This Row],[Transportdistanz.Voreinstellung]]*Baukon_alle_A4_join[[#This Row],[Masse '[kg/m²'] Referenz]]</f>
        <v>0.32610732515999996</v>
      </c>
      <c r="X22" s="132">
        <f>_xlfn.XLOOKUP(Baukon_alle_A4_join[[#This Row],[Transport.Transport-Modus]],LeitRess_Materialien[Name],LeitRess_Materialien[PENRT '[MJ/kg']])*Baukon_alle_A4_join[[#This Row],[Transportdistanz.Voreinstellung]]*Baukon_alle_A4_join[[#This Row],[Masse '[kg/m²'] min]]</f>
        <v>0.32610732515999996</v>
      </c>
      <c r="Y22" s="132">
        <f>_xlfn.XLOOKUP(Baukon_alle_A4_join[[#This Row],[Transport.Transport-Modus]],LeitRess_Materialien[Name],LeitRess_Materialien[PENRT '[MJ/kg']])*Baukon_alle_A4_join[[#This Row],[Transportdistanz.Voreinstellung]]*Baukon_alle_A4_join[[#This Row],[Masse '[kg/m²'] max]]</f>
        <v>0.32610732515999996</v>
      </c>
      <c r="Z22" s="132">
        <f>_xlfn.XLOOKUP(Baukon_alle_A4_join[[#This Row],[Transport.Transport-Modus]],LeitRess_Materialien[Name],LeitRess_Materialien[WDP '[m³ weighted water/kg']])*Baukon_alle_A4_join[[#This Row],[Transportdistanz.Voreinstellung]]*Baukon_alle_A4_join[[#This Row],[Masse '[kg/m²'] Referenz]]</f>
        <v>3.5465518156530783E-3</v>
      </c>
      <c r="AA22" s="132">
        <f>_xlfn.XLOOKUP(Baukon_alle_A4_join[[#This Row],[Transport.Transport-Modus]],LeitRess_Materialien[Name],LeitRess_Materialien[WDP '[m³ weighted water/kg']])*Baukon_alle_A4_join[[#This Row],[Transportdistanz.Voreinstellung]]*Baukon_alle_A4_join[[#This Row],[Masse '[kg/m²'] min]]</f>
        <v>3.5465518156530783E-3</v>
      </c>
      <c r="AB22" s="132">
        <f>_xlfn.XLOOKUP(Baukon_alle_A4_join[[#This Row],[Transport.Transport-Modus]],LeitRess_Materialien[Name],LeitRess_Materialien[WDP '[m³ weighted water/kg']])*Baukon_alle_A4_join[[#This Row],[Transportdistanz.Voreinstellung]]*Baukon_alle_A4_join[[#This Row],[Masse '[kg/m²'] max]]</f>
        <v>3.5465518156530783E-3</v>
      </c>
      <c r="AC22"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8.6838248811966189E-6</v>
      </c>
      <c r="AD22"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8.6838248811966189E-6</v>
      </c>
      <c r="AE22"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8.6838248811966189E-6</v>
      </c>
    </row>
    <row r="23" spans="1:31" x14ac:dyDescent="0.45">
      <c r="A23" t="s">
        <v>53</v>
      </c>
      <c r="B23" t="s">
        <v>306</v>
      </c>
      <c r="C23" t="s">
        <v>303</v>
      </c>
      <c r="D23" t="s">
        <v>71</v>
      </c>
      <c r="E23" t="s">
        <v>323</v>
      </c>
      <c r="F23" t="s">
        <v>279</v>
      </c>
      <c r="G23">
        <v>5.4</v>
      </c>
      <c r="H23">
        <v>5.4</v>
      </c>
      <c r="I23">
        <v>5.4</v>
      </c>
      <c r="K23" t="s">
        <v>17</v>
      </c>
      <c r="L23" t="s">
        <v>305</v>
      </c>
      <c r="M23" t="s">
        <v>253</v>
      </c>
      <c r="N23" s="132">
        <f>_xlfn.XLOOKUP(Baukon_alle_A4_join[[#This Row],[Transport.Transport-Modus]],LeitRess_Materialien[Name],LeitRess_Materialien[RMI '[kg Primärrohstoffe / kg']])*Baukon_alle_A4_join[[#This Row],[Transportdistanz.Voreinstellung]]*Baukon_alle_A4_join[[#This Row],[Masse '[kg/m²'] Referenz]]</f>
        <v>4.7111835877724745E-2</v>
      </c>
      <c r="O23" s="132">
        <f>_xlfn.XLOOKUP(Baukon_alle_A4_join[[#This Row],[Transport.Transport-Modus]],LeitRess_Materialien[Name],LeitRess_Materialien[RMI '[kg Primärrohstoffe / kg']])*Baukon_alle_A4_join[[#This Row],[Transportdistanz.Voreinstellung]]*Baukon_alle_A4_join[[#This Row],[Masse '[kg/m²'] min]]</f>
        <v>4.7111835877724745E-2</v>
      </c>
      <c r="P23" s="132">
        <f>_xlfn.XLOOKUP(Baukon_alle_A4_join[[#This Row],[Transport.Transport-Modus]],LeitRess_Materialien[Name],LeitRess_Materialien[RMI '[kg Primärrohstoffe / kg']])*Baukon_alle_A4_join[[#This Row],[Transportdistanz.Voreinstellung]]*Baukon_alle_A4_join[[#This Row],[Masse '[kg/m²'] max]]</f>
        <v>4.7111835877724745E-2</v>
      </c>
      <c r="Q23" s="132">
        <f>_xlfn.XLOOKUP(Baukon_alle_A4_join[[#This Row],[Transport.Transport-Modus]],LeitRess_Materialien[Name],LeitRess_Materialien[TMR '[kg Gesamtmaterialaufwand/kg']])*Baukon_alle_A4_join[[#This Row],[Transportdistanz.Voreinstellung]]*Baukon_alle_A4_join[[#This Row],[Masse '[kg/m²'] Referenz]]</f>
        <v>5.6150095557391838E-2</v>
      </c>
      <c r="R23" s="132">
        <f>_xlfn.XLOOKUP(Baukon_alle_A4_join[[#This Row],[Transport.Transport-Modus]],LeitRess_Materialien[Name],LeitRess_Materialien[TMR '[kg Gesamtmaterialaufwand/kg']])*Baukon_alle_A4_join[[#This Row],[Transportdistanz.Voreinstellung]]*Baukon_alle_A4_join[[#This Row],[Masse '[kg/m²'] min]]</f>
        <v>5.6150095557391838E-2</v>
      </c>
      <c r="S23" s="132">
        <f>_xlfn.XLOOKUP(Baukon_alle_A4_join[[#This Row],[Transport.Transport-Modus]],LeitRess_Materialien[Name],LeitRess_Materialien[TMR '[kg Gesamtmaterialaufwand/kg']])*Baukon_alle_A4_join[[#This Row],[Transportdistanz.Voreinstellung]]*Baukon_alle_A4_join[[#This Row],[Masse '[kg/m²'] max]]</f>
        <v>5.6150095557391838E-2</v>
      </c>
      <c r="T23" s="132">
        <f>_xlfn.XLOOKUP(Baukon_alle_A4_join[[#This Row],[Transport.Transport-Modus]],LeitRess_Materialien[Name],LeitRess_Materialien[GWP '[kg CO2-Äqu./kg']])*Baukon_alle_A4_join[[#This Row],[Transportdistanz.Voreinstellung]]*Baukon_alle_A4_join[[#This Row],[Masse '[kg/m²'] Referenz]]</f>
        <v>5.2267161068414551E-2</v>
      </c>
      <c r="U23" s="132">
        <f>_xlfn.XLOOKUP(Baukon_alle_A4_join[[#This Row],[Transport.Transport-Modus]],LeitRess_Materialien[Name],LeitRess_Materialien[GWP '[kg CO2-Äqu./kg']])*Baukon_alle_A4_join[[#This Row],[Transportdistanz.Voreinstellung]]*Baukon_alle_A4_join[[#This Row],[Masse '[kg/m²'] min]]</f>
        <v>5.2267161068414551E-2</v>
      </c>
      <c r="V23" s="132">
        <f>_xlfn.XLOOKUP(Baukon_alle_A4_join[[#This Row],[Transport.Transport-Modus]],LeitRess_Materialien[Name],LeitRess_Materialien[GWP '[kg CO2-Äqu./kg']])*Baukon_alle_A4_join[[#This Row],[Transportdistanz.Voreinstellung]]*Baukon_alle_A4_join[[#This Row],[Masse '[kg/m²'] max]]</f>
        <v>5.2267161068414551E-2</v>
      </c>
      <c r="W23" s="132">
        <f>_xlfn.XLOOKUP(Baukon_alle_A4_join[[#This Row],[Transport.Transport-Modus]],LeitRess_Materialien[Name],LeitRess_Materialien[PENRT '[MJ/kg']])*Baukon_alle_A4_join[[#This Row],[Transportdistanz.Voreinstellung]]*Baukon_alle_A4_join[[#This Row],[Masse '[kg/m²'] Referenz]]</f>
        <v>0.32610732515999996</v>
      </c>
      <c r="X23" s="132">
        <f>_xlfn.XLOOKUP(Baukon_alle_A4_join[[#This Row],[Transport.Transport-Modus]],LeitRess_Materialien[Name],LeitRess_Materialien[PENRT '[MJ/kg']])*Baukon_alle_A4_join[[#This Row],[Transportdistanz.Voreinstellung]]*Baukon_alle_A4_join[[#This Row],[Masse '[kg/m²'] min]]</f>
        <v>0.32610732515999996</v>
      </c>
      <c r="Y23" s="132">
        <f>_xlfn.XLOOKUP(Baukon_alle_A4_join[[#This Row],[Transport.Transport-Modus]],LeitRess_Materialien[Name],LeitRess_Materialien[PENRT '[MJ/kg']])*Baukon_alle_A4_join[[#This Row],[Transportdistanz.Voreinstellung]]*Baukon_alle_A4_join[[#This Row],[Masse '[kg/m²'] max]]</f>
        <v>0.32610732515999996</v>
      </c>
      <c r="Z23" s="132">
        <f>_xlfn.XLOOKUP(Baukon_alle_A4_join[[#This Row],[Transport.Transport-Modus]],LeitRess_Materialien[Name],LeitRess_Materialien[WDP '[m³ weighted water/kg']])*Baukon_alle_A4_join[[#This Row],[Transportdistanz.Voreinstellung]]*Baukon_alle_A4_join[[#This Row],[Masse '[kg/m²'] Referenz]]</f>
        <v>3.5465518156530783E-3</v>
      </c>
      <c r="AA23" s="132">
        <f>_xlfn.XLOOKUP(Baukon_alle_A4_join[[#This Row],[Transport.Transport-Modus]],LeitRess_Materialien[Name],LeitRess_Materialien[WDP '[m³ weighted water/kg']])*Baukon_alle_A4_join[[#This Row],[Transportdistanz.Voreinstellung]]*Baukon_alle_A4_join[[#This Row],[Masse '[kg/m²'] min]]</f>
        <v>3.5465518156530783E-3</v>
      </c>
      <c r="AB23" s="132">
        <f>_xlfn.XLOOKUP(Baukon_alle_A4_join[[#This Row],[Transport.Transport-Modus]],LeitRess_Materialien[Name],LeitRess_Materialien[WDP '[m³ weighted water/kg']])*Baukon_alle_A4_join[[#This Row],[Transportdistanz.Voreinstellung]]*Baukon_alle_A4_join[[#This Row],[Masse '[kg/m²'] max]]</f>
        <v>3.5465518156530783E-3</v>
      </c>
      <c r="AC23"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8.6838248811966189E-6</v>
      </c>
      <c r="AD23"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8.6838248811966189E-6</v>
      </c>
      <c r="AE23"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8.6838248811966189E-6</v>
      </c>
    </row>
    <row r="24" spans="1:31" x14ac:dyDescent="0.45">
      <c r="A24" t="s">
        <v>87</v>
      </c>
      <c r="B24" t="s">
        <v>308</v>
      </c>
      <c r="C24" t="s">
        <v>313</v>
      </c>
      <c r="D24" t="s">
        <v>93</v>
      </c>
      <c r="E24" t="s">
        <v>324</v>
      </c>
      <c r="F24" t="s">
        <v>240</v>
      </c>
      <c r="G24">
        <v>10</v>
      </c>
      <c r="H24">
        <v>10</v>
      </c>
      <c r="I24">
        <v>10</v>
      </c>
      <c r="K24" t="s">
        <v>17</v>
      </c>
      <c r="L24" t="s">
        <v>305</v>
      </c>
      <c r="M24" t="s">
        <v>253</v>
      </c>
      <c r="N24" s="132">
        <f>_xlfn.XLOOKUP(Baukon_alle_A4_join[[#This Row],[Transport.Transport-Modus]],LeitRess_Materialien[Name],LeitRess_Materialien[RMI '[kg Primärrohstoffe / kg']])*Baukon_alle_A4_join[[#This Row],[Transportdistanz.Voreinstellung]]*Baukon_alle_A4_join[[#This Row],[Masse '[kg/m²'] Referenz]]</f>
        <v>8.7244140514305069E-2</v>
      </c>
      <c r="O24" s="132">
        <f>_xlfn.XLOOKUP(Baukon_alle_A4_join[[#This Row],[Transport.Transport-Modus]],LeitRess_Materialien[Name],LeitRess_Materialien[RMI '[kg Primärrohstoffe / kg']])*Baukon_alle_A4_join[[#This Row],[Transportdistanz.Voreinstellung]]*Baukon_alle_A4_join[[#This Row],[Masse '[kg/m²'] min]]</f>
        <v>8.7244140514305069E-2</v>
      </c>
      <c r="P24" s="132">
        <f>_xlfn.XLOOKUP(Baukon_alle_A4_join[[#This Row],[Transport.Transport-Modus]],LeitRess_Materialien[Name],LeitRess_Materialien[RMI '[kg Primärrohstoffe / kg']])*Baukon_alle_A4_join[[#This Row],[Transportdistanz.Voreinstellung]]*Baukon_alle_A4_join[[#This Row],[Masse '[kg/m²'] max]]</f>
        <v>8.7244140514305069E-2</v>
      </c>
      <c r="Q24" s="132">
        <f>_xlfn.XLOOKUP(Baukon_alle_A4_join[[#This Row],[Transport.Transport-Modus]],LeitRess_Materialien[Name],LeitRess_Materialien[TMR '[kg Gesamtmaterialaufwand/kg']])*Baukon_alle_A4_join[[#This Row],[Transportdistanz.Voreinstellung]]*Baukon_alle_A4_join[[#This Row],[Masse '[kg/m²'] Referenz]]</f>
        <v>0.1039816584396145</v>
      </c>
      <c r="R24" s="132">
        <f>_xlfn.XLOOKUP(Baukon_alle_A4_join[[#This Row],[Transport.Transport-Modus]],LeitRess_Materialien[Name],LeitRess_Materialien[TMR '[kg Gesamtmaterialaufwand/kg']])*Baukon_alle_A4_join[[#This Row],[Transportdistanz.Voreinstellung]]*Baukon_alle_A4_join[[#This Row],[Masse '[kg/m²'] min]]</f>
        <v>0.1039816584396145</v>
      </c>
      <c r="S24" s="132">
        <f>_xlfn.XLOOKUP(Baukon_alle_A4_join[[#This Row],[Transport.Transport-Modus]],LeitRess_Materialien[Name],LeitRess_Materialien[TMR '[kg Gesamtmaterialaufwand/kg']])*Baukon_alle_A4_join[[#This Row],[Transportdistanz.Voreinstellung]]*Baukon_alle_A4_join[[#This Row],[Masse '[kg/m²'] max]]</f>
        <v>0.1039816584396145</v>
      </c>
      <c r="T24" s="132">
        <f>_xlfn.XLOOKUP(Baukon_alle_A4_join[[#This Row],[Transport.Transport-Modus]],LeitRess_Materialien[Name],LeitRess_Materialien[GWP '[kg CO2-Äqu./kg']])*Baukon_alle_A4_join[[#This Row],[Transportdistanz.Voreinstellung]]*Baukon_alle_A4_join[[#This Row],[Masse '[kg/m²'] Referenz]]</f>
        <v>9.6791039015582503E-2</v>
      </c>
      <c r="U24" s="132">
        <f>_xlfn.XLOOKUP(Baukon_alle_A4_join[[#This Row],[Transport.Transport-Modus]],LeitRess_Materialien[Name],LeitRess_Materialien[GWP '[kg CO2-Äqu./kg']])*Baukon_alle_A4_join[[#This Row],[Transportdistanz.Voreinstellung]]*Baukon_alle_A4_join[[#This Row],[Masse '[kg/m²'] min]]</f>
        <v>9.6791039015582503E-2</v>
      </c>
      <c r="V24" s="132">
        <f>_xlfn.XLOOKUP(Baukon_alle_A4_join[[#This Row],[Transport.Transport-Modus]],LeitRess_Materialien[Name],LeitRess_Materialien[GWP '[kg CO2-Äqu./kg']])*Baukon_alle_A4_join[[#This Row],[Transportdistanz.Voreinstellung]]*Baukon_alle_A4_join[[#This Row],[Masse '[kg/m²'] max]]</f>
        <v>9.6791039015582503E-2</v>
      </c>
      <c r="W24" s="132">
        <f>_xlfn.XLOOKUP(Baukon_alle_A4_join[[#This Row],[Transport.Transport-Modus]],LeitRess_Materialien[Name],LeitRess_Materialien[PENRT '[MJ/kg']])*Baukon_alle_A4_join[[#This Row],[Transportdistanz.Voreinstellung]]*Baukon_alle_A4_join[[#This Row],[Masse '[kg/m²'] Referenz]]</f>
        <v>0.60390245399999998</v>
      </c>
      <c r="X24" s="132">
        <f>_xlfn.XLOOKUP(Baukon_alle_A4_join[[#This Row],[Transport.Transport-Modus]],LeitRess_Materialien[Name],LeitRess_Materialien[PENRT '[MJ/kg']])*Baukon_alle_A4_join[[#This Row],[Transportdistanz.Voreinstellung]]*Baukon_alle_A4_join[[#This Row],[Masse '[kg/m²'] min]]</f>
        <v>0.60390245399999998</v>
      </c>
      <c r="Y24" s="132">
        <f>_xlfn.XLOOKUP(Baukon_alle_A4_join[[#This Row],[Transport.Transport-Modus]],LeitRess_Materialien[Name],LeitRess_Materialien[PENRT '[MJ/kg']])*Baukon_alle_A4_join[[#This Row],[Transportdistanz.Voreinstellung]]*Baukon_alle_A4_join[[#This Row],[Masse '[kg/m²'] max]]</f>
        <v>0.60390245399999998</v>
      </c>
      <c r="Z24" s="132">
        <f>_xlfn.XLOOKUP(Baukon_alle_A4_join[[#This Row],[Transport.Transport-Modus]],LeitRess_Materialien[Name],LeitRess_Materialien[WDP '[m³ weighted water/kg']])*Baukon_alle_A4_join[[#This Row],[Transportdistanz.Voreinstellung]]*Baukon_alle_A4_join[[#This Row],[Masse '[kg/m²'] Referenz]]</f>
        <v>6.5676885475057E-3</v>
      </c>
      <c r="AA24" s="132">
        <f>_xlfn.XLOOKUP(Baukon_alle_A4_join[[#This Row],[Transport.Transport-Modus]],LeitRess_Materialien[Name],LeitRess_Materialien[WDP '[m³ weighted water/kg']])*Baukon_alle_A4_join[[#This Row],[Transportdistanz.Voreinstellung]]*Baukon_alle_A4_join[[#This Row],[Masse '[kg/m²'] min]]</f>
        <v>6.5676885475057E-3</v>
      </c>
      <c r="AB24" s="132">
        <f>_xlfn.XLOOKUP(Baukon_alle_A4_join[[#This Row],[Transport.Transport-Modus]],LeitRess_Materialien[Name],LeitRess_Materialien[WDP '[m³ weighted water/kg']])*Baukon_alle_A4_join[[#This Row],[Transportdistanz.Voreinstellung]]*Baukon_alle_A4_join[[#This Row],[Masse '[kg/m²'] max]]</f>
        <v>6.5676885475057E-3</v>
      </c>
      <c r="AC24"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1.6081157187401144E-5</v>
      </c>
      <c r="AD24"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1.6081157187401144E-5</v>
      </c>
      <c r="AE24"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1.6081157187401144E-5</v>
      </c>
    </row>
    <row r="25" spans="1:31" x14ac:dyDescent="0.45">
      <c r="A25" t="s">
        <v>87</v>
      </c>
      <c r="B25" t="s">
        <v>308</v>
      </c>
      <c r="C25" t="s">
        <v>314</v>
      </c>
      <c r="D25" t="s">
        <v>96</v>
      </c>
      <c r="E25" t="s">
        <v>324</v>
      </c>
      <c r="F25" t="s">
        <v>240</v>
      </c>
      <c r="G25">
        <v>10</v>
      </c>
      <c r="H25">
        <v>10</v>
      </c>
      <c r="I25">
        <v>10</v>
      </c>
      <c r="K25" t="s">
        <v>17</v>
      </c>
      <c r="L25" t="s">
        <v>305</v>
      </c>
      <c r="M25" t="s">
        <v>253</v>
      </c>
      <c r="N25" s="132">
        <f>_xlfn.XLOOKUP(Baukon_alle_A4_join[[#This Row],[Transport.Transport-Modus]],LeitRess_Materialien[Name],LeitRess_Materialien[RMI '[kg Primärrohstoffe / kg']])*Baukon_alle_A4_join[[#This Row],[Transportdistanz.Voreinstellung]]*Baukon_alle_A4_join[[#This Row],[Masse '[kg/m²'] Referenz]]</f>
        <v>8.7244140514305069E-2</v>
      </c>
      <c r="O25" s="132">
        <f>_xlfn.XLOOKUP(Baukon_alle_A4_join[[#This Row],[Transport.Transport-Modus]],LeitRess_Materialien[Name],LeitRess_Materialien[RMI '[kg Primärrohstoffe / kg']])*Baukon_alle_A4_join[[#This Row],[Transportdistanz.Voreinstellung]]*Baukon_alle_A4_join[[#This Row],[Masse '[kg/m²'] min]]</f>
        <v>8.7244140514305069E-2</v>
      </c>
      <c r="P25" s="132">
        <f>_xlfn.XLOOKUP(Baukon_alle_A4_join[[#This Row],[Transport.Transport-Modus]],LeitRess_Materialien[Name],LeitRess_Materialien[RMI '[kg Primärrohstoffe / kg']])*Baukon_alle_A4_join[[#This Row],[Transportdistanz.Voreinstellung]]*Baukon_alle_A4_join[[#This Row],[Masse '[kg/m²'] max]]</f>
        <v>8.7244140514305069E-2</v>
      </c>
      <c r="Q25" s="132">
        <f>_xlfn.XLOOKUP(Baukon_alle_A4_join[[#This Row],[Transport.Transport-Modus]],LeitRess_Materialien[Name],LeitRess_Materialien[TMR '[kg Gesamtmaterialaufwand/kg']])*Baukon_alle_A4_join[[#This Row],[Transportdistanz.Voreinstellung]]*Baukon_alle_A4_join[[#This Row],[Masse '[kg/m²'] Referenz]]</f>
        <v>0.1039816584396145</v>
      </c>
      <c r="R25" s="132">
        <f>_xlfn.XLOOKUP(Baukon_alle_A4_join[[#This Row],[Transport.Transport-Modus]],LeitRess_Materialien[Name],LeitRess_Materialien[TMR '[kg Gesamtmaterialaufwand/kg']])*Baukon_alle_A4_join[[#This Row],[Transportdistanz.Voreinstellung]]*Baukon_alle_A4_join[[#This Row],[Masse '[kg/m²'] min]]</f>
        <v>0.1039816584396145</v>
      </c>
      <c r="S25" s="132">
        <f>_xlfn.XLOOKUP(Baukon_alle_A4_join[[#This Row],[Transport.Transport-Modus]],LeitRess_Materialien[Name],LeitRess_Materialien[TMR '[kg Gesamtmaterialaufwand/kg']])*Baukon_alle_A4_join[[#This Row],[Transportdistanz.Voreinstellung]]*Baukon_alle_A4_join[[#This Row],[Masse '[kg/m²'] max]]</f>
        <v>0.1039816584396145</v>
      </c>
      <c r="T25" s="132">
        <f>_xlfn.XLOOKUP(Baukon_alle_A4_join[[#This Row],[Transport.Transport-Modus]],LeitRess_Materialien[Name],LeitRess_Materialien[GWP '[kg CO2-Äqu./kg']])*Baukon_alle_A4_join[[#This Row],[Transportdistanz.Voreinstellung]]*Baukon_alle_A4_join[[#This Row],[Masse '[kg/m²'] Referenz]]</f>
        <v>9.6791039015582503E-2</v>
      </c>
      <c r="U25" s="132">
        <f>_xlfn.XLOOKUP(Baukon_alle_A4_join[[#This Row],[Transport.Transport-Modus]],LeitRess_Materialien[Name],LeitRess_Materialien[GWP '[kg CO2-Äqu./kg']])*Baukon_alle_A4_join[[#This Row],[Transportdistanz.Voreinstellung]]*Baukon_alle_A4_join[[#This Row],[Masse '[kg/m²'] min]]</f>
        <v>9.6791039015582503E-2</v>
      </c>
      <c r="V25" s="132">
        <f>_xlfn.XLOOKUP(Baukon_alle_A4_join[[#This Row],[Transport.Transport-Modus]],LeitRess_Materialien[Name],LeitRess_Materialien[GWP '[kg CO2-Äqu./kg']])*Baukon_alle_A4_join[[#This Row],[Transportdistanz.Voreinstellung]]*Baukon_alle_A4_join[[#This Row],[Masse '[kg/m²'] max]]</f>
        <v>9.6791039015582503E-2</v>
      </c>
      <c r="W25" s="132">
        <f>_xlfn.XLOOKUP(Baukon_alle_A4_join[[#This Row],[Transport.Transport-Modus]],LeitRess_Materialien[Name],LeitRess_Materialien[PENRT '[MJ/kg']])*Baukon_alle_A4_join[[#This Row],[Transportdistanz.Voreinstellung]]*Baukon_alle_A4_join[[#This Row],[Masse '[kg/m²'] Referenz]]</f>
        <v>0.60390245399999998</v>
      </c>
      <c r="X25" s="132">
        <f>_xlfn.XLOOKUP(Baukon_alle_A4_join[[#This Row],[Transport.Transport-Modus]],LeitRess_Materialien[Name],LeitRess_Materialien[PENRT '[MJ/kg']])*Baukon_alle_A4_join[[#This Row],[Transportdistanz.Voreinstellung]]*Baukon_alle_A4_join[[#This Row],[Masse '[kg/m²'] min]]</f>
        <v>0.60390245399999998</v>
      </c>
      <c r="Y25" s="132">
        <f>_xlfn.XLOOKUP(Baukon_alle_A4_join[[#This Row],[Transport.Transport-Modus]],LeitRess_Materialien[Name],LeitRess_Materialien[PENRT '[MJ/kg']])*Baukon_alle_A4_join[[#This Row],[Transportdistanz.Voreinstellung]]*Baukon_alle_A4_join[[#This Row],[Masse '[kg/m²'] max]]</f>
        <v>0.60390245399999998</v>
      </c>
      <c r="Z25" s="132">
        <f>_xlfn.XLOOKUP(Baukon_alle_A4_join[[#This Row],[Transport.Transport-Modus]],LeitRess_Materialien[Name],LeitRess_Materialien[WDP '[m³ weighted water/kg']])*Baukon_alle_A4_join[[#This Row],[Transportdistanz.Voreinstellung]]*Baukon_alle_A4_join[[#This Row],[Masse '[kg/m²'] Referenz]]</f>
        <v>6.5676885475057E-3</v>
      </c>
      <c r="AA25" s="132">
        <f>_xlfn.XLOOKUP(Baukon_alle_A4_join[[#This Row],[Transport.Transport-Modus]],LeitRess_Materialien[Name],LeitRess_Materialien[WDP '[m³ weighted water/kg']])*Baukon_alle_A4_join[[#This Row],[Transportdistanz.Voreinstellung]]*Baukon_alle_A4_join[[#This Row],[Masse '[kg/m²'] min]]</f>
        <v>6.5676885475057E-3</v>
      </c>
      <c r="AB25" s="132">
        <f>_xlfn.XLOOKUP(Baukon_alle_A4_join[[#This Row],[Transport.Transport-Modus]],LeitRess_Materialien[Name],LeitRess_Materialien[WDP '[m³ weighted water/kg']])*Baukon_alle_A4_join[[#This Row],[Transportdistanz.Voreinstellung]]*Baukon_alle_A4_join[[#This Row],[Masse '[kg/m²'] max]]</f>
        <v>6.5676885475057E-3</v>
      </c>
      <c r="AC25"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1.6081157187401144E-5</v>
      </c>
      <c r="AD25"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1.6081157187401144E-5</v>
      </c>
      <c r="AE25"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1.6081157187401144E-5</v>
      </c>
    </row>
    <row r="26" spans="1:31" x14ac:dyDescent="0.45">
      <c r="A26" t="s">
        <v>87</v>
      </c>
      <c r="B26" t="s">
        <v>325</v>
      </c>
      <c r="C26" t="s">
        <v>312</v>
      </c>
      <c r="D26" t="s">
        <v>102</v>
      </c>
      <c r="E26" t="s">
        <v>324</v>
      </c>
      <c r="F26" t="s">
        <v>240</v>
      </c>
      <c r="G26">
        <v>10</v>
      </c>
      <c r="H26">
        <v>10</v>
      </c>
      <c r="I26">
        <v>10</v>
      </c>
      <c r="K26" t="s">
        <v>17</v>
      </c>
      <c r="L26" t="s">
        <v>305</v>
      </c>
      <c r="M26" t="s">
        <v>253</v>
      </c>
      <c r="N26" s="132">
        <f>_xlfn.XLOOKUP(Baukon_alle_A4_join[[#This Row],[Transport.Transport-Modus]],LeitRess_Materialien[Name],LeitRess_Materialien[RMI '[kg Primärrohstoffe / kg']])*Baukon_alle_A4_join[[#This Row],[Transportdistanz.Voreinstellung]]*Baukon_alle_A4_join[[#This Row],[Masse '[kg/m²'] Referenz]]</f>
        <v>8.7244140514305069E-2</v>
      </c>
      <c r="O26" s="132">
        <f>_xlfn.XLOOKUP(Baukon_alle_A4_join[[#This Row],[Transport.Transport-Modus]],LeitRess_Materialien[Name],LeitRess_Materialien[RMI '[kg Primärrohstoffe / kg']])*Baukon_alle_A4_join[[#This Row],[Transportdistanz.Voreinstellung]]*Baukon_alle_A4_join[[#This Row],[Masse '[kg/m²'] min]]</f>
        <v>8.7244140514305069E-2</v>
      </c>
      <c r="P26" s="132">
        <f>_xlfn.XLOOKUP(Baukon_alle_A4_join[[#This Row],[Transport.Transport-Modus]],LeitRess_Materialien[Name],LeitRess_Materialien[RMI '[kg Primärrohstoffe / kg']])*Baukon_alle_A4_join[[#This Row],[Transportdistanz.Voreinstellung]]*Baukon_alle_A4_join[[#This Row],[Masse '[kg/m²'] max]]</f>
        <v>8.7244140514305069E-2</v>
      </c>
      <c r="Q26" s="132">
        <f>_xlfn.XLOOKUP(Baukon_alle_A4_join[[#This Row],[Transport.Transport-Modus]],LeitRess_Materialien[Name],LeitRess_Materialien[TMR '[kg Gesamtmaterialaufwand/kg']])*Baukon_alle_A4_join[[#This Row],[Transportdistanz.Voreinstellung]]*Baukon_alle_A4_join[[#This Row],[Masse '[kg/m²'] Referenz]]</f>
        <v>0.1039816584396145</v>
      </c>
      <c r="R26" s="132">
        <f>_xlfn.XLOOKUP(Baukon_alle_A4_join[[#This Row],[Transport.Transport-Modus]],LeitRess_Materialien[Name],LeitRess_Materialien[TMR '[kg Gesamtmaterialaufwand/kg']])*Baukon_alle_A4_join[[#This Row],[Transportdistanz.Voreinstellung]]*Baukon_alle_A4_join[[#This Row],[Masse '[kg/m²'] min]]</f>
        <v>0.1039816584396145</v>
      </c>
      <c r="S26" s="132">
        <f>_xlfn.XLOOKUP(Baukon_alle_A4_join[[#This Row],[Transport.Transport-Modus]],LeitRess_Materialien[Name],LeitRess_Materialien[TMR '[kg Gesamtmaterialaufwand/kg']])*Baukon_alle_A4_join[[#This Row],[Transportdistanz.Voreinstellung]]*Baukon_alle_A4_join[[#This Row],[Masse '[kg/m²'] max]]</f>
        <v>0.1039816584396145</v>
      </c>
      <c r="T26" s="132">
        <f>_xlfn.XLOOKUP(Baukon_alle_A4_join[[#This Row],[Transport.Transport-Modus]],LeitRess_Materialien[Name],LeitRess_Materialien[GWP '[kg CO2-Äqu./kg']])*Baukon_alle_A4_join[[#This Row],[Transportdistanz.Voreinstellung]]*Baukon_alle_A4_join[[#This Row],[Masse '[kg/m²'] Referenz]]</f>
        <v>9.6791039015582503E-2</v>
      </c>
      <c r="U26" s="132">
        <f>_xlfn.XLOOKUP(Baukon_alle_A4_join[[#This Row],[Transport.Transport-Modus]],LeitRess_Materialien[Name],LeitRess_Materialien[GWP '[kg CO2-Äqu./kg']])*Baukon_alle_A4_join[[#This Row],[Transportdistanz.Voreinstellung]]*Baukon_alle_A4_join[[#This Row],[Masse '[kg/m²'] min]]</f>
        <v>9.6791039015582503E-2</v>
      </c>
      <c r="V26" s="132">
        <f>_xlfn.XLOOKUP(Baukon_alle_A4_join[[#This Row],[Transport.Transport-Modus]],LeitRess_Materialien[Name],LeitRess_Materialien[GWP '[kg CO2-Äqu./kg']])*Baukon_alle_A4_join[[#This Row],[Transportdistanz.Voreinstellung]]*Baukon_alle_A4_join[[#This Row],[Masse '[kg/m²'] max]]</f>
        <v>9.6791039015582503E-2</v>
      </c>
      <c r="W26" s="132">
        <f>_xlfn.XLOOKUP(Baukon_alle_A4_join[[#This Row],[Transport.Transport-Modus]],LeitRess_Materialien[Name],LeitRess_Materialien[PENRT '[MJ/kg']])*Baukon_alle_A4_join[[#This Row],[Transportdistanz.Voreinstellung]]*Baukon_alle_A4_join[[#This Row],[Masse '[kg/m²'] Referenz]]</f>
        <v>0.60390245399999998</v>
      </c>
      <c r="X26" s="132">
        <f>_xlfn.XLOOKUP(Baukon_alle_A4_join[[#This Row],[Transport.Transport-Modus]],LeitRess_Materialien[Name],LeitRess_Materialien[PENRT '[MJ/kg']])*Baukon_alle_A4_join[[#This Row],[Transportdistanz.Voreinstellung]]*Baukon_alle_A4_join[[#This Row],[Masse '[kg/m²'] min]]</f>
        <v>0.60390245399999998</v>
      </c>
      <c r="Y26" s="132">
        <f>_xlfn.XLOOKUP(Baukon_alle_A4_join[[#This Row],[Transport.Transport-Modus]],LeitRess_Materialien[Name],LeitRess_Materialien[PENRT '[MJ/kg']])*Baukon_alle_A4_join[[#This Row],[Transportdistanz.Voreinstellung]]*Baukon_alle_A4_join[[#This Row],[Masse '[kg/m²'] max]]</f>
        <v>0.60390245399999998</v>
      </c>
      <c r="Z26" s="132">
        <f>_xlfn.XLOOKUP(Baukon_alle_A4_join[[#This Row],[Transport.Transport-Modus]],LeitRess_Materialien[Name],LeitRess_Materialien[WDP '[m³ weighted water/kg']])*Baukon_alle_A4_join[[#This Row],[Transportdistanz.Voreinstellung]]*Baukon_alle_A4_join[[#This Row],[Masse '[kg/m²'] Referenz]]</f>
        <v>6.5676885475057E-3</v>
      </c>
      <c r="AA26" s="132">
        <f>_xlfn.XLOOKUP(Baukon_alle_A4_join[[#This Row],[Transport.Transport-Modus]],LeitRess_Materialien[Name],LeitRess_Materialien[WDP '[m³ weighted water/kg']])*Baukon_alle_A4_join[[#This Row],[Transportdistanz.Voreinstellung]]*Baukon_alle_A4_join[[#This Row],[Masse '[kg/m²'] min]]</f>
        <v>6.5676885475057E-3</v>
      </c>
      <c r="AB26" s="132">
        <f>_xlfn.XLOOKUP(Baukon_alle_A4_join[[#This Row],[Transport.Transport-Modus]],LeitRess_Materialien[Name],LeitRess_Materialien[WDP '[m³ weighted water/kg']])*Baukon_alle_A4_join[[#This Row],[Transportdistanz.Voreinstellung]]*Baukon_alle_A4_join[[#This Row],[Masse '[kg/m²'] max]]</f>
        <v>6.5676885475057E-3</v>
      </c>
      <c r="AC26"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1.6081157187401144E-5</v>
      </c>
      <c r="AD26"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1.6081157187401144E-5</v>
      </c>
      <c r="AE26"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1.6081157187401144E-5</v>
      </c>
    </row>
    <row r="27" spans="1:31" x14ac:dyDescent="0.45">
      <c r="A27" t="s">
        <v>87</v>
      </c>
      <c r="B27" t="s">
        <v>325</v>
      </c>
      <c r="C27" t="s">
        <v>275</v>
      </c>
      <c r="D27" t="s">
        <v>103</v>
      </c>
      <c r="E27" t="s">
        <v>324</v>
      </c>
      <c r="F27" t="s">
        <v>240</v>
      </c>
      <c r="G27">
        <v>10</v>
      </c>
      <c r="H27">
        <v>10</v>
      </c>
      <c r="I27">
        <v>10</v>
      </c>
      <c r="K27" t="s">
        <v>17</v>
      </c>
      <c r="L27" t="s">
        <v>305</v>
      </c>
      <c r="M27" t="s">
        <v>253</v>
      </c>
      <c r="N27" s="132">
        <f>_xlfn.XLOOKUP(Baukon_alle_A4_join[[#This Row],[Transport.Transport-Modus]],LeitRess_Materialien[Name],LeitRess_Materialien[RMI '[kg Primärrohstoffe / kg']])*Baukon_alle_A4_join[[#This Row],[Transportdistanz.Voreinstellung]]*Baukon_alle_A4_join[[#This Row],[Masse '[kg/m²'] Referenz]]</f>
        <v>8.7244140514305069E-2</v>
      </c>
      <c r="O27" s="132">
        <f>_xlfn.XLOOKUP(Baukon_alle_A4_join[[#This Row],[Transport.Transport-Modus]],LeitRess_Materialien[Name],LeitRess_Materialien[RMI '[kg Primärrohstoffe / kg']])*Baukon_alle_A4_join[[#This Row],[Transportdistanz.Voreinstellung]]*Baukon_alle_A4_join[[#This Row],[Masse '[kg/m²'] min]]</f>
        <v>8.7244140514305069E-2</v>
      </c>
      <c r="P27" s="132">
        <f>_xlfn.XLOOKUP(Baukon_alle_A4_join[[#This Row],[Transport.Transport-Modus]],LeitRess_Materialien[Name],LeitRess_Materialien[RMI '[kg Primärrohstoffe / kg']])*Baukon_alle_A4_join[[#This Row],[Transportdistanz.Voreinstellung]]*Baukon_alle_A4_join[[#This Row],[Masse '[kg/m²'] max]]</f>
        <v>8.7244140514305069E-2</v>
      </c>
      <c r="Q27" s="132">
        <f>_xlfn.XLOOKUP(Baukon_alle_A4_join[[#This Row],[Transport.Transport-Modus]],LeitRess_Materialien[Name],LeitRess_Materialien[TMR '[kg Gesamtmaterialaufwand/kg']])*Baukon_alle_A4_join[[#This Row],[Transportdistanz.Voreinstellung]]*Baukon_alle_A4_join[[#This Row],[Masse '[kg/m²'] Referenz]]</f>
        <v>0.1039816584396145</v>
      </c>
      <c r="R27" s="132">
        <f>_xlfn.XLOOKUP(Baukon_alle_A4_join[[#This Row],[Transport.Transport-Modus]],LeitRess_Materialien[Name],LeitRess_Materialien[TMR '[kg Gesamtmaterialaufwand/kg']])*Baukon_alle_A4_join[[#This Row],[Transportdistanz.Voreinstellung]]*Baukon_alle_A4_join[[#This Row],[Masse '[kg/m²'] min]]</f>
        <v>0.1039816584396145</v>
      </c>
      <c r="S27" s="132">
        <f>_xlfn.XLOOKUP(Baukon_alle_A4_join[[#This Row],[Transport.Transport-Modus]],LeitRess_Materialien[Name],LeitRess_Materialien[TMR '[kg Gesamtmaterialaufwand/kg']])*Baukon_alle_A4_join[[#This Row],[Transportdistanz.Voreinstellung]]*Baukon_alle_A4_join[[#This Row],[Masse '[kg/m²'] max]]</f>
        <v>0.1039816584396145</v>
      </c>
      <c r="T27" s="132">
        <f>_xlfn.XLOOKUP(Baukon_alle_A4_join[[#This Row],[Transport.Transport-Modus]],LeitRess_Materialien[Name],LeitRess_Materialien[GWP '[kg CO2-Äqu./kg']])*Baukon_alle_A4_join[[#This Row],[Transportdistanz.Voreinstellung]]*Baukon_alle_A4_join[[#This Row],[Masse '[kg/m²'] Referenz]]</f>
        <v>9.6791039015582503E-2</v>
      </c>
      <c r="U27" s="132">
        <f>_xlfn.XLOOKUP(Baukon_alle_A4_join[[#This Row],[Transport.Transport-Modus]],LeitRess_Materialien[Name],LeitRess_Materialien[GWP '[kg CO2-Äqu./kg']])*Baukon_alle_A4_join[[#This Row],[Transportdistanz.Voreinstellung]]*Baukon_alle_A4_join[[#This Row],[Masse '[kg/m²'] min]]</f>
        <v>9.6791039015582503E-2</v>
      </c>
      <c r="V27" s="132">
        <f>_xlfn.XLOOKUP(Baukon_alle_A4_join[[#This Row],[Transport.Transport-Modus]],LeitRess_Materialien[Name],LeitRess_Materialien[GWP '[kg CO2-Äqu./kg']])*Baukon_alle_A4_join[[#This Row],[Transportdistanz.Voreinstellung]]*Baukon_alle_A4_join[[#This Row],[Masse '[kg/m²'] max]]</f>
        <v>9.6791039015582503E-2</v>
      </c>
      <c r="W27" s="132">
        <f>_xlfn.XLOOKUP(Baukon_alle_A4_join[[#This Row],[Transport.Transport-Modus]],LeitRess_Materialien[Name],LeitRess_Materialien[PENRT '[MJ/kg']])*Baukon_alle_A4_join[[#This Row],[Transportdistanz.Voreinstellung]]*Baukon_alle_A4_join[[#This Row],[Masse '[kg/m²'] Referenz]]</f>
        <v>0.60390245399999998</v>
      </c>
      <c r="X27" s="132">
        <f>_xlfn.XLOOKUP(Baukon_alle_A4_join[[#This Row],[Transport.Transport-Modus]],LeitRess_Materialien[Name],LeitRess_Materialien[PENRT '[MJ/kg']])*Baukon_alle_A4_join[[#This Row],[Transportdistanz.Voreinstellung]]*Baukon_alle_A4_join[[#This Row],[Masse '[kg/m²'] min]]</f>
        <v>0.60390245399999998</v>
      </c>
      <c r="Y27" s="132">
        <f>_xlfn.XLOOKUP(Baukon_alle_A4_join[[#This Row],[Transport.Transport-Modus]],LeitRess_Materialien[Name],LeitRess_Materialien[PENRT '[MJ/kg']])*Baukon_alle_A4_join[[#This Row],[Transportdistanz.Voreinstellung]]*Baukon_alle_A4_join[[#This Row],[Masse '[kg/m²'] max]]</f>
        <v>0.60390245399999998</v>
      </c>
      <c r="Z27" s="132">
        <f>_xlfn.XLOOKUP(Baukon_alle_A4_join[[#This Row],[Transport.Transport-Modus]],LeitRess_Materialien[Name],LeitRess_Materialien[WDP '[m³ weighted water/kg']])*Baukon_alle_A4_join[[#This Row],[Transportdistanz.Voreinstellung]]*Baukon_alle_A4_join[[#This Row],[Masse '[kg/m²'] Referenz]]</f>
        <v>6.5676885475057E-3</v>
      </c>
      <c r="AA27" s="132">
        <f>_xlfn.XLOOKUP(Baukon_alle_A4_join[[#This Row],[Transport.Transport-Modus]],LeitRess_Materialien[Name],LeitRess_Materialien[WDP '[m³ weighted water/kg']])*Baukon_alle_A4_join[[#This Row],[Transportdistanz.Voreinstellung]]*Baukon_alle_A4_join[[#This Row],[Masse '[kg/m²'] min]]</f>
        <v>6.5676885475057E-3</v>
      </c>
      <c r="AB27" s="132">
        <f>_xlfn.XLOOKUP(Baukon_alle_A4_join[[#This Row],[Transport.Transport-Modus]],LeitRess_Materialien[Name],LeitRess_Materialien[WDP '[m³ weighted water/kg']])*Baukon_alle_A4_join[[#This Row],[Transportdistanz.Voreinstellung]]*Baukon_alle_A4_join[[#This Row],[Masse '[kg/m²'] max]]</f>
        <v>6.5676885475057E-3</v>
      </c>
      <c r="AC27"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1.6081157187401144E-5</v>
      </c>
      <c r="AD27"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1.6081157187401144E-5</v>
      </c>
      <c r="AE27"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1.6081157187401144E-5</v>
      </c>
    </row>
    <row r="28" spans="1:31" x14ac:dyDescent="0.45">
      <c r="A28" t="s">
        <v>110</v>
      </c>
      <c r="B28" t="s">
        <v>318</v>
      </c>
      <c r="C28" t="s">
        <v>312</v>
      </c>
      <c r="D28" t="s">
        <v>116</v>
      </c>
      <c r="E28" t="s">
        <v>324</v>
      </c>
      <c r="F28" t="s">
        <v>240</v>
      </c>
      <c r="G28">
        <v>10</v>
      </c>
      <c r="H28">
        <v>10</v>
      </c>
      <c r="I28">
        <v>10</v>
      </c>
      <c r="K28" t="s">
        <v>17</v>
      </c>
      <c r="L28" t="s">
        <v>305</v>
      </c>
      <c r="M28" t="s">
        <v>253</v>
      </c>
      <c r="N28" s="132">
        <f>_xlfn.XLOOKUP(Baukon_alle_A4_join[[#This Row],[Transport.Transport-Modus]],LeitRess_Materialien[Name],LeitRess_Materialien[RMI '[kg Primärrohstoffe / kg']])*Baukon_alle_A4_join[[#This Row],[Transportdistanz.Voreinstellung]]*Baukon_alle_A4_join[[#This Row],[Masse '[kg/m²'] Referenz]]</f>
        <v>8.7244140514305069E-2</v>
      </c>
      <c r="O28" s="132">
        <f>_xlfn.XLOOKUP(Baukon_alle_A4_join[[#This Row],[Transport.Transport-Modus]],LeitRess_Materialien[Name],LeitRess_Materialien[RMI '[kg Primärrohstoffe / kg']])*Baukon_alle_A4_join[[#This Row],[Transportdistanz.Voreinstellung]]*Baukon_alle_A4_join[[#This Row],[Masse '[kg/m²'] min]]</f>
        <v>8.7244140514305069E-2</v>
      </c>
      <c r="P28" s="132">
        <f>_xlfn.XLOOKUP(Baukon_alle_A4_join[[#This Row],[Transport.Transport-Modus]],LeitRess_Materialien[Name],LeitRess_Materialien[RMI '[kg Primärrohstoffe / kg']])*Baukon_alle_A4_join[[#This Row],[Transportdistanz.Voreinstellung]]*Baukon_alle_A4_join[[#This Row],[Masse '[kg/m²'] max]]</f>
        <v>8.7244140514305069E-2</v>
      </c>
      <c r="Q28" s="132">
        <f>_xlfn.XLOOKUP(Baukon_alle_A4_join[[#This Row],[Transport.Transport-Modus]],LeitRess_Materialien[Name],LeitRess_Materialien[TMR '[kg Gesamtmaterialaufwand/kg']])*Baukon_alle_A4_join[[#This Row],[Transportdistanz.Voreinstellung]]*Baukon_alle_A4_join[[#This Row],[Masse '[kg/m²'] Referenz]]</f>
        <v>0.1039816584396145</v>
      </c>
      <c r="R28" s="132">
        <f>_xlfn.XLOOKUP(Baukon_alle_A4_join[[#This Row],[Transport.Transport-Modus]],LeitRess_Materialien[Name],LeitRess_Materialien[TMR '[kg Gesamtmaterialaufwand/kg']])*Baukon_alle_A4_join[[#This Row],[Transportdistanz.Voreinstellung]]*Baukon_alle_A4_join[[#This Row],[Masse '[kg/m²'] min]]</f>
        <v>0.1039816584396145</v>
      </c>
      <c r="S28" s="132">
        <f>_xlfn.XLOOKUP(Baukon_alle_A4_join[[#This Row],[Transport.Transport-Modus]],LeitRess_Materialien[Name],LeitRess_Materialien[TMR '[kg Gesamtmaterialaufwand/kg']])*Baukon_alle_A4_join[[#This Row],[Transportdistanz.Voreinstellung]]*Baukon_alle_A4_join[[#This Row],[Masse '[kg/m²'] max]]</f>
        <v>0.1039816584396145</v>
      </c>
      <c r="T28" s="132">
        <f>_xlfn.XLOOKUP(Baukon_alle_A4_join[[#This Row],[Transport.Transport-Modus]],LeitRess_Materialien[Name],LeitRess_Materialien[GWP '[kg CO2-Äqu./kg']])*Baukon_alle_A4_join[[#This Row],[Transportdistanz.Voreinstellung]]*Baukon_alle_A4_join[[#This Row],[Masse '[kg/m²'] Referenz]]</f>
        <v>9.6791039015582503E-2</v>
      </c>
      <c r="U28" s="132">
        <f>_xlfn.XLOOKUP(Baukon_alle_A4_join[[#This Row],[Transport.Transport-Modus]],LeitRess_Materialien[Name],LeitRess_Materialien[GWP '[kg CO2-Äqu./kg']])*Baukon_alle_A4_join[[#This Row],[Transportdistanz.Voreinstellung]]*Baukon_alle_A4_join[[#This Row],[Masse '[kg/m²'] min]]</f>
        <v>9.6791039015582503E-2</v>
      </c>
      <c r="V28" s="132">
        <f>_xlfn.XLOOKUP(Baukon_alle_A4_join[[#This Row],[Transport.Transport-Modus]],LeitRess_Materialien[Name],LeitRess_Materialien[GWP '[kg CO2-Äqu./kg']])*Baukon_alle_A4_join[[#This Row],[Transportdistanz.Voreinstellung]]*Baukon_alle_A4_join[[#This Row],[Masse '[kg/m²'] max]]</f>
        <v>9.6791039015582503E-2</v>
      </c>
      <c r="W28" s="132">
        <f>_xlfn.XLOOKUP(Baukon_alle_A4_join[[#This Row],[Transport.Transport-Modus]],LeitRess_Materialien[Name],LeitRess_Materialien[PENRT '[MJ/kg']])*Baukon_alle_A4_join[[#This Row],[Transportdistanz.Voreinstellung]]*Baukon_alle_A4_join[[#This Row],[Masse '[kg/m²'] Referenz]]</f>
        <v>0.60390245399999998</v>
      </c>
      <c r="X28" s="132">
        <f>_xlfn.XLOOKUP(Baukon_alle_A4_join[[#This Row],[Transport.Transport-Modus]],LeitRess_Materialien[Name],LeitRess_Materialien[PENRT '[MJ/kg']])*Baukon_alle_A4_join[[#This Row],[Transportdistanz.Voreinstellung]]*Baukon_alle_A4_join[[#This Row],[Masse '[kg/m²'] min]]</f>
        <v>0.60390245399999998</v>
      </c>
      <c r="Y28" s="132">
        <f>_xlfn.XLOOKUP(Baukon_alle_A4_join[[#This Row],[Transport.Transport-Modus]],LeitRess_Materialien[Name],LeitRess_Materialien[PENRT '[MJ/kg']])*Baukon_alle_A4_join[[#This Row],[Transportdistanz.Voreinstellung]]*Baukon_alle_A4_join[[#This Row],[Masse '[kg/m²'] max]]</f>
        <v>0.60390245399999998</v>
      </c>
      <c r="Z28" s="132">
        <f>_xlfn.XLOOKUP(Baukon_alle_A4_join[[#This Row],[Transport.Transport-Modus]],LeitRess_Materialien[Name],LeitRess_Materialien[WDP '[m³ weighted water/kg']])*Baukon_alle_A4_join[[#This Row],[Transportdistanz.Voreinstellung]]*Baukon_alle_A4_join[[#This Row],[Masse '[kg/m²'] Referenz]]</f>
        <v>6.5676885475057E-3</v>
      </c>
      <c r="AA28" s="132">
        <f>_xlfn.XLOOKUP(Baukon_alle_A4_join[[#This Row],[Transport.Transport-Modus]],LeitRess_Materialien[Name],LeitRess_Materialien[WDP '[m³ weighted water/kg']])*Baukon_alle_A4_join[[#This Row],[Transportdistanz.Voreinstellung]]*Baukon_alle_A4_join[[#This Row],[Masse '[kg/m²'] min]]</f>
        <v>6.5676885475057E-3</v>
      </c>
      <c r="AB28" s="132">
        <f>_xlfn.XLOOKUP(Baukon_alle_A4_join[[#This Row],[Transport.Transport-Modus]],LeitRess_Materialien[Name],LeitRess_Materialien[WDP '[m³ weighted water/kg']])*Baukon_alle_A4_join[[#This Row],[Transportdistanz.Voreinstellung]]*Baukon_alle_A4_join[[#This Row],[Masse '[kg/m²'] max]]</f>
        <v>6.5676885475057E-3</v>
      </c>
      <c r="AC28"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1.6081157187401144E-5</v>
      </c>
      <c r="AD28"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1.6081157187401144E-5</v>
      </c>
      <c r="AE28"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1.6081157187401144E-5</v>
      </c>
    </row>
    <row r="29" spans="1:31" x14ac:dyDescent="0.45">
      <c r="A29" t="s">
        <v>110</v>
      </c>
      <c r="B29" t="s">
        <v>326</v>
      </c>
      <c r="C29" t="s">
        <v>303</v>
      </c>
      <c r="D29" t="s">
        <v>115</v>
      </c>
      <c r="E29" t="s">
        <v>327</v>
      </c>
      <c r="F29" t="s">
        <v>261</v>
      </c>
      <c r="G29">
        <v>10</v>
      </c>
      <c r="H29">
        <v>10</v>
      </c>
      <c r="I29">
        <v>10</v>
      </c>
      <c r="K29" t="s">
        <v>17</v>
      </c>
      <c r="L29" t="s">
        <v>305</v>
      </c>
      <c r="M29" t="s">
        <v>253</v>
      </c>
      <c r="N29" s="132">
        <f>_xlfn.XLOOKUP(Baukon_alle_A4_join[[#This Row],[Transport.Transport-Modus]],LeitRess_Materialien[Name],LeitRess_Materialien[RMI '[kg Primärrohstoffe / kg']])*Baukon_alle_A4_join[[#This Row],[Transportdistanz.Voreinstellung]]*Baukon_alle_A4_join[[#This Row],[Masse '[kg/m²'] Referenz]]</f>
        <v>8.7244140514305069E-2</v>
      </c>
      <c r="O29" s="132">
        <f>_xlfn.XLOOKUP(Baukon_alle_A4_join[[#This Row],[Transport.Transport-Modus]],LeitRess_Materialien[Name],LeitRess_Materialien[RMI '[kg Primärrohstoffe / kg']])*Baukon_alle_A4_join[[#This Row],[Transportdistanz.Voreinstellung]]*Baukon_alle_A4_join[[#This Row],[Masse '[kg/m²'] min]]</f>
        <v>8.7244140514305069E-2</v>
      </c>
      <c r="P29" s="132">
        <f>_xlfn.XLOOKUP(Baukon_alle_A4_join[[#This Row],[Transport.Transport-Modus]],LeitRess_Materialien[Name],LeitRess_Materialien[RMI '[kg Primärrohstoffe / kg']])*Baukon_alle_A4_join[[#This Row],[Transportdistanz.Voreinstellung]]*Baukon_alle_A4_join[[#This Row],[Masse '[kg/m²'] max]]</f>
        <v>8.7244140514305069E-2</v>
      </c>
      <c r="Q29" s="132">
        <f>_xlfn.XLOOKUP(Baukon_alle_A4_join[[#This Row],[Transport.Transport-Modus]],LeitRess_Materialien[Name],LeitRess_Materialien[TMR '[kg Gesamtmaterialaufwand/kg']])*Baukon_alle_A4_join[[#This Row],[Transportdistanz.Voreinstellung]]*Baukon_alle_A4_join[[#This Row],[Masse '[kg/m²'] Referenz]]</f>
        <v>0.1039816584396145</v>
      </c>
      <c r="R29" s="132">
        <f>_xlfn.XLOOKUP(Baukon_alle_A4_join[[#This Row],[Transport.Transport-Modus]],LeitRess_Materialien[Name],LeitRess_Materialien[TMR '[kg Gesamtmaterialaufwand/kg']])*Baukon_alle_A4_join[[#This Row],[Transportdistanz.Voreinstellung]]*Baukon_alle_A4_join[[#This Row],[Masse '[kg/m²'] min]]</f>
        <v>0.1039816584396145</v>
      </c>
      <c r="S29" s="132">
        <f>_xlfn.XLOOKUP(Baukon_alle_A4_join[[#This Row],[Transport.Transport-Modus]],LeitRess_Materialien[Name],LeitRess_Materialien[TMR '[kg Gesamtmaterialaufwand/kg']])*Baukon_alle_A4_join[[#This Row],[Transportdistanz.Voreinstellung]]*Baukon_alle_A4_join[[#This Row],[Masse '[kg/m²'] max]]</f>
        <v>0.1039816584396145</v>
      </c>
      <c r="T29" s="132">
        <f>_xlfn.XLOOKUP(Baukon_alle_A4_join[[#This Row],[Transport.Transport-Modus]],LeitRess_Materialien[Name],LeitRess_Materialien[GWP '[kg CO2-Äqu./kg']])*Baukon_alle_A4_join[[#This Row],[Transportdistanz.Voreinstellung]]*Baukon_alle_A4_join[[#This Row],[Masse '[kg/m²'] Referenz]]</f>
        <v>9.6791039015582503E-2</v>
      </c>
      <c r="U29" s="132">
        <f>_xlfn.XLOOKUP(Baukon_alle_A4_join[[#This Row],[Transport.Transport-Modus]],LeitRess_Materialien[Name],LeitRess_Materialien[GWP '[kg CO2-Äqu./kg']])*Baukon_alle_A4_join[[#This Row],[Transportdistanz.Voreinstellung]]*Baukon_alle_A4_join[[#This Row],[Masse '[kg/m²'] min]]</f>
        <v>9.6791039015582503E-2</v>
      </c>
      <c r="V29" s="132">
        <f>_xlfn.XLOOKUP(Baukon_alle_A4_join[[#This Row],[Transport.Transport-Modus]],LeitRess_Materialien[Name],LeitRess_Materialien[GWP '[kg CO2-Äqu./kg']])*Baukon_alle_A4_join[[#This Row],[Transportdistanz.Voreinstellung]]*Baukon_alle_A4_join[[#This Row],[Masse '[kg/m²'] max]]</f>
        <v>9.6791039015582503E-2</v>
      </c>
      <c r="W29" s="132">
        <f>_xlfn.XLOOKUP(Baukon_alle_A4_join[[#This Row],[Transport.Transport-Modus]],LeitRess_Materialien[Name],LeitRess_Materialien[PENRT '[MJ/kg']])*Baukon_alle_A4_join[[#This Row],[Transportdistanz.Voreinstellung]]*Baukon_alle_A4_join[[#This Row],[Masse '[kg/m²'] Referenz]]</f>
        <v>0.60390245399999998</v>
      </c>
      <c r="X29" s="132">
        <f>_xlfn.XLOOKUP(Baukon_alle_A4_join[[#This Row],[Transport.Transport-Modus]],LeitRess_Materialien[Name],LeitRess_Materialien[PENRT '[MJ/kg']])*Baukon_alle_A4_join[[#This Row],[Transportdistanz.Voreinstellung]]*Baukon_alle_A4_join[[#This Row],[Masse '[kg/m²'] min]]</f>
        <v>0.60390245399999998</v>
      </c>
      <c r="Y29" s="132">
        <f>_xlfn.XLOOKUP(Baukon_alle_A4_join[[#This Row],[Transport.Transport-Modus]],LeitRess_Materialien[Name],LeitRess_Materialien[PENRT '[MJ/kg']])*Baukon_alle_A4_join[[#This Row],[Transportdistanz.Voreinstellung]]*Baukon_alle_A4_join[[#This Row],[Masse '[kg/m²'] max]]</f>
        <v>0.60390245399999998</v>
      </c>
      <c r="Z29" s="132">
        <f>_xlfn.XLOOKUP(Baukon_alle_A4_join[[#This Row],[Transport.Transport-Modus]],LeitRess_Materialien[Name],LeitRess_Materialien[WDP '[m³ weighted water/kg']])*Baukon_alle_A4_join[[#This Row],[Transportdistanz.Voreinstellung]]*Baukon_alle_A4_join[[#This Row],[Masse '[kg/m²'] Referenz]]</f>
        <v>6.5676885475057E-3</v>
      </c>
      <c r="AA29" s="132">
        <f>_xlfn.XLOOKUP(Baukon_alle_A4_join[[#This Row],[Transport.Transport-Modus]],LeitRess_Materialien[Name],LeitRess_Materialien[WDP '[m³ weighted water/kg']])*Baukon_alle_A4_join[[#This Row],[Transportdistanz.Voreinstellung]]*Baukon_alle_A4_join[[#This Row],[Masse '[kg/m²'] min]]</f>
        <v>6.5676885475057E-3</v>
      </c>
      <c r="AB29" s="132">
        <f>_xlfn.XLOOKUP(Baukon_alle_A4_join[[#This Row],[Transport.Transport-Modus]],LeitRess_Materialien[Name],LeitRess_Materialien[WDP '[m³ weighted water/kg']])*Baukon_alle_A4_join[[#This Row],[Transportdistanz.Voreinstellung]]*Baukon_alle_A4_join[[#This Row],[Masse '[kg/m²'] max]]</f>
        <v>6.5676885475057E-3</v>
      </c>
      <c r="AC29"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1.6081157187401144E-5</v>
      </c>
      <c r="AD29"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1.6081157187401144E-5</v>
      </c>
      <c r="AE29"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1.6081157187401144E-5</v>
      </c>
    </row>
    <row r="30" spans="1:31" x14ac:dyDescent="0.45">
      <c r="A30" t="s">
        <v>87</v>
      </c>
      <c r="B30" t="s">
        <v>308</v>
      </c>
      <c r="C30" t="s">
        <v>309</v>
      </c>
      <c r="D30" t="s">
        <v>90</v>
      </c>
      <c r="E30" t="s">
        <v>264</v>
      </c>
      <c r="F30" t="s">
        <v>264</v>
      </c>
      <c r="G30">
        <v>350</v>
      </c>
      <c r="H30">
        <v>350</v>
      </c>
      <c r="I30">
        <v>350</v>
      </c>
      <c r="K30" t="s">
        <v>17</v>
      </c>
      <c r="L30" t="s">
        <v>305</v>
      </c>
      <c r="M30" t="s">
        <v>253</v>
      </c>
      <c r="N30" s="132">
        <f>_xlfn.XLOOKUP(Baukon_alle_A4_join[[#This Row],[Transport.Transport-Modus]],LeitRess_Materialien[Name],LeitRess_Materialien[RMI '[kg Primärrohstoffe / kg']])*Baukon_alle_A4_join[[#This Row],[Transportdistanz.Voreinstellung]]*Baukon_alle_A4_join[[#This Row],[Masse '[kg/m²'] Referenz]]</f>
        <v>3.0535449180006777</v>
      </c>
      <c r="O30" s="132">
        <f>_xlfn.XLOOKUP(Baukon_alle_A4_join[[#This Row],[Transport.Transport-Modus]],LeitRess_Materialien[Name],LeitRess_Materialien[RMI '[kg Primärrohstoffe / kg']])*Baukon_alle_A4_join[[#This Row],[Transportdistanz.Voreinstellung]]*Baukon_alle_A4_join[[#This Row],[Masse '[kg/m²'] min]]</f>
        <v>3.0535449180006777</v>
      </c>
      <c r="P30" s="132">
        <f>_xlfn.XLOOKUP(Baukon_alle_A4_join[[#This Row],[Transport.Transport-Modus]],LeitRess_Materialien[Name],LeitRess_Materialien[RMI '[kg Primärrohstoffe / kg']])*Baukon_alle_A4_join[[#This Row],[Transportdistanz.Voreinstellung]]*Baukon_alle_A4_join[[#This Row],[Masse '[kg/m²'] max]]</f>
        <v>3.0535449180006777</v>
      </c>
      <c r="Q30" s="132">
        <f>_xlfn.XLOOKUP(Baukon_alle_A4_join[[#This Row],[Transport.Transport-Modus]],LeitRess_Materialien[Name],LeitRess_Materialien[TMR '[kg Gesamtmaterialaufwand/kg']])*Baukon_alle_A4_join[[#This Row],[Transportdistanz.Voreinstellung]]*Baukon_alle_A4_join[[#This Row],[Masse '[kg/m²'] Referenz]]</f>
        <v>3.6393580453865075</v>
      </c>
      <c r="R30" s="132">
        <f>_xlfn.XLOOKUP(Baukon_alle_A4_join[[#This Row],[Transport.Transport-Modus]],LeitRess_Materialien[Name],LeitRess_Materialien[TMR '[kg Gesamtmaterialaufwand/kg']])*Baukon_alle_A4_join[[#This Row],[Transportdistanz.Voreinstellung]]*Baukon_alle_A4_join[[#This Row],[Masse '[kg/m²'] min]]</f>
        <v>3.6393580453865075</v>
      </c>
      <c r="S30" s="132">
        <f>_xlfn.XLOOKUP(Baukon_alle_A4_join[[#This Row],[Transport.Transport-Modus]],LeitRess_Materialien[Name],LeitRess_Materialien[TMR '[kg Gesamtmaterialaufwand/kg']])*Baukon_alle_A4_join[[#This Row],[Transportdistanz.Voreinstellung]]*Baukon_alle_A4_join[[#This Row],[Masse '[kg/m²'] max]]</f>
        <v>3.6393580453865075</v>
      </c>
      <c r="T30" s="132">
        <f>_xlfn.XLOOKUP(Baukon_alle_A4_join[[#This Row],[Transport.Transport-Modus]],LeitRess_Materialien[Name],LeitRess_Materialien[GWP '[kg CO2-Äqu./kg']])*Baukon_alle_A4_join[[#This Row],[Transportdistanz.Voreinstellung]]*Baukon_alle_A4_join[[#This Row],[Masse '[kg/m²'] Referenz]]</f>
        <v>3.3876863655453873</v>
      </c>
      <c r="U30" s="132">
        <f>_xlfn.XLOOKUP(Baukon_alle_A4_join[[#This Row],[Transport.Transport-Modus]],LeitRess_Materialien[Name],LeitRess_Materialien[GWP '[kg CO2-Äqu./kg']])*Baukon_alle_A4_join[[#This Row],[Transportdistanz.Voreinstellung]]*Baukon_alle_A4_join[[#This Row],[Masse '[kg/m²'] min]]</f>
        <v>3.3876863655453873</v>
      </c>
      <c r="V30" s="132">
        <f>_xlfn.XLOOKUP(Baukon_alle_A4_join[[#This Row],[Transport.Transport-Modus]],LeitRess_Materialien[Name],LeitRess_Materialien[GWP '[kg CO2-Äqu./kg']])*Baukon_alle_A4_join[[#This Row],[Transportdistanz.Voreinstellung]]*Baukon_alle_A4_join[[#This Row],[Masse '[kg/m²'] max]]</f>
        <v>3.3876863655453873</v>
      </c>
      <c r="W30" s="132">
        <f>_xlfn.XLOOKUP(Baukon_alle_A4_join[[#This Row],[Transport.Transport-Modus]],LeitRess_Materialien[Name],LeitRess_Materialien[PENRT '[MJ/kg']])*Baukon_alle_A4_join[[#This Row],[Transportdistanz.Voreinstellung]]*Baukon_alle_A4_join[[#This Row],[Masse '[kg/m²'] Referenz]]</f>
        <v>21.136585889999999</v>
      </c>
      <c r="X30" s="132">
        <f>_xlfn.XLOOKUP(Baukon_alle_A4_join[[#This Row],[Transport.Transport-Modus]],LeitRess_Materialien[Name],LeitRess_Materialien[PENRT '[MJ/kg']])*Baukon_alle_A4_join[[#This Row],[Transportdistanz.Voreinstellung]]*Baukon_alle_A4_join[[#This Row],[Masse '[kg/m²'] min]]</f>
        <v>21.136585889999999</v>
      </c>
      <c r="Y30" s="132">
        <f>_xlfn.XLOOKUP(Baukon_alle_A4_join[[#This Row],[Transport.Transport-Modus]],LeitRess_Materialien[Name],LeitRess_Materialien[PENRT '[MJ/kg']])*Baukon_alle_A4_join[[#This Row],[Transportdistanz.Voreinstellung]]*Baukon_alle_A4_join[[#This Row],[Masse '[kg/m²'] max]]</f>
        <v>21.136585889999999</v>
      </c>
      <c r="Z30" s="132">
        <f>_xlfn.XLOOKUP(Baukon_alle_A4_join[[#This Row],[Transport.Transport-Modus]],LeitRess_Materialien[Name],LeitRess_Materialien[WDP '[m³ weighted water/kg']])*Baukon_alle_A4_join[[#This Row],[Transportdistanz.Voreinstellung]]*Baukon_alle_A4_join[[#This Row],[Masse '[kg/m²'] Referenz]]</f>
        <v>0.22986909916269949</v>
      </c>
      <c r="AA30" s="132">
        <f>_xlfn.XLOOKUP(Baukon_alle_A4_join[[#This Row],[Transport.Transport-Modus]],LeitRess_Materialien[Name],LeitRess_Materialien[WDP '[m³ weighted water/kg']])*Baukon_alle_A4_join[[#This Row],[Transportdistanz.Voreinstellung]]*Baukon_alle_A4_join[[#This Row],[Masse '[kg/m²'] min]]</f>
        <v>0.22986909916269949</v>
      </c>
      <c r="AB30" s="132">
        <f>_xlfn.XLOOKUP(Baukon_alle_A4_join[[#This Row],[Transport.Transport-Modus]],LeitRess_Materialien[Name],LeitRess_Materialien[WDP '[m³ weighted water/kg']])*Baukon_alle_A4_join[[#This Row],[Transportdistanz.Voreinstellung]]*Baukon_alle_A4_join[[#This Row],[Masse '[kg/m²'] max]]</f>
        <v>0.22986909916269949</v>
      </c>
      <c r="AC30"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5.6284050155903996E-4</v>
      </c>
      <c r="AD30"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5.6284050155903996E-4</v>
      </c>
      <c r="AE30"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5.6284050155903996E-4</v>
      </c>
    </row>
    <row r="31" spans="1:31" x14ac:dyDescent="0.45">
      <c r="A31" t="s">
        <v>87</v>
      </c>
      <c r="B31" t="s">
        <v>308</v>
      </c>
      <c r="C31" t="s">
        <v>313</v>
      </c>
      <c r="D31" t="s">
        <v>93</v>
      </c>
      <c r="E31" t="s">
        <v>264</v>
      </c>
      <c r="F31" t="s">
        <v>264</v>
      </c>
      <c r="G31">
        <v>240</v>
      </c>
      <c r="H31">
        <v>240</v>
      </c>
      <c r="I31">
        <v>240</v>
      </c>
      <c r="K31" t="s">
        <v>17</v>
      </c>
      <c r="L31" t="s">
        <v>305</v>
      </c>
      <c r="M31" t="s">
        <v>253</v>
      </c>
      <c r="N31" s="132">
        <f>_xlfn.XLOOKUP(Baukon_alle_A4_join[[#This Row],[Transport.Transport-Modus]],LeitRess_Materialien[Name],LeitRess_Materialien[RMI '[kg Primärrohstoffe / kg']])*Baukon_alle_A4_join[[#This Row],[Transportdistanz.Voreinstellung]]*Baukon_alle_A4_join[[#This Row],[Masse '[kg/m²'] Referenz]]</f>
        <v>2.0938593723433216</v>
      </c>
      <c r="O31" s="132">
        <f>_xlfn.XLOOKUP(Baukon_alle_A4_join[[#This Row],[Transport.Transport-Modus]],LeitRess_Materialien[Name],LeitRess_Materialien[RMI '[kg Primärrohstoffe / kg']])*Baukon_alle_A4_join[[#This Row],[Transportdistanz.Voreinstellung]]*Baukon_alle_A4_join[[#This Row],[Masse '[kg/m²'] min]]</f>
        <v>2.0938593723433216</v>
      </c>
      <c r="P31" s="132">
        <f>_xlfn.XLOOKUP(Baukon_alle_A4_join[[#This Row],[Transport.Transport-Modus]],LeitRess_Materialien[Name],LeitRess_Materialien[RMI '[kg Primärrohstoffe / kg']])*Baukon_alle_A4_join[[#This Row],[Transportdistanz.Voreinstellung]]*Baukon_alle_A4_join[[#This Row],[Masse '[kg/m²'] max]]</f>
        <v>2.0938593723433216</v>
      </c>
      <c r="Q31" s="132">
        <f>_xlfn.XLOOKUP(Baukon_alle_A4_join[[#This Row],[Transport.Transport-Modus]],LeitRess_Materialien[Name],LeitRess_Materialien[TMR '[kg Gesamtmaterialaufwand/kg']])*Baukon_alle_A4_join[[#This Row],[Transportdistanz.Voreinstellung]]*Baukon_alle_A4_join[[#This Row],[Masse '[kg/m²'] Referenz]]</f>
        <v>2.4955598025507482</v>
      </c>
      <c r="R31" s="132">
        <f>_xlfn.XLOOKUP(Baukon_alle_A4_join[[#This Row],[Transport.Transport-Modus]],LeitRess_Materialien[Name],LeitRess_Materialien[TMR '[kg Gesamtmaterialaufwand/kg']])*Baukon_alle_A4_join[[#This Row],[Transportdistanz.Voreinstellung]]*Baukon_alle_A4_join[[#This Row],[Masse '[kg/m²'] min]]</f>
        <v>2.4955598025507482</v>
      </c>
      <c r="S31" s="132">
        <f>_xlfn.XLOOKUP(Baukon_alle_A4_join[[#This Row],[Transport.Transport-Modus]],LeitRess_Materialien[Name],LeitRess_Materialien[TMR '[kg Gesamtmaterialaufwand/kg']])*Baukon_alle_A4_join[[#This Row],[Transportdistanz.Voreinstellung]]*Baukon_alle_A4_join[[#This Row],[Masse '[kg/m²'] max]]</f>
        <v>2.4955598025507482</v>
      </c>
      <c r="T31" s="132">
        <f>_xlfn.XLOOKUP(Baukon_alle_A4_join[[#This Row],[Transport.Transport-Modus]],LeitRess_Materialien[Name],LeitRess_Materialien[GWP '[kg CO2-Äqu./kg']])*Baukon_alle_A4_join[[#This Row],[Transportdistanz.Voreinstellung]]*Baukon_alle_A4_join[[#This Row],[Masse '[kg/m²'] Referenz]]</f>
        <v>2.3229849363739801</v>
      </c>
      <c r="U31" s="132">
        <f>_xlfn.XLOOKUP(Baukon_alle_A4_join[[#This Row],[Transport.Transport-Modus]],LeitRess_Materialien[Name],LeitRess_Materialien[GWP '[kg CO2-Äqu./kg']])*Baukon_alle_A4_join[[#This Row],[Transportdistanz.Voreinstellung]]*Baukon_alle_A4_join[[#This Row],[Masse '[kg/m²'] min]]</f>
        <v>2.3229849363739801</v>
      </c>
      <c r="V31" s="132">
        <f>_xlfn.XLOOKUP(Baukon_alle_A4_join[[#This Row],[Transport.Transport-Modus]],LeitRess_Materialien[Name],LeitRess_Materialien[GWP '[kg CO2-Äqu./kg']])*Baukon_alle_A4_join[[#This Row],[Transportdistanz.Voreinstellung]]*Baukon_alle_A4_join[[#This Row],[Masse '[kg/m²'] max]]</f>
        <v>2.3229849363739801</v>
      </c>
      <c r="W31" s="132">
        <f>_xlfn.XLOOKUP(Baukon_alle_A4_join[[#This Row],[Transport.Transport-Modus]],LeitRess_Materialien[Name],LeitRess_Materialien[PENRT '[MJ/kg']])*Baukon_alle_A4_join[[#This Row],[Transportdistanz.Voreinstellung]]*Baukon_alle_A4_join[[#This Row],[Masse '[kg/m²'] Referenz]]</f>
        <v>14.493658895999998</v>
      </c>
      <c r="X31" s="132">
        <f>_xlfn.XLOOKUP(Baukon_alle_A4_join[[#This Row],[Transport.Transport-Modus]],LeitRess_Materialien[Name],LeitRess_Materialien[PENRT '[MJ/kg']])*Baukon_alle_A4_join[[#This Row],[Transportdistanz.Voreinstellung]]*Baukon_alle_A4_join[[#This Row],[Masse '[kg/m²'] min]]</f>
        <v>14.493658895999998</v>
      </c>
      <c r="Y31" s="132">
        <f>_xlfn.XLOOKUP(Baukon_alle_A4_join[[#This Row],[Transport.Transport-Modus]],LeitRess_Materialien[Name],LeitRess_Materialien[PENRT '[MJ/kg']])*Baukon_alle_A4_join[[#This Row],[Transportdistanz.Voreinstellung]]*Baukon_alle_A4_join[[#This Row],[Masse '[kg/m²'] max]]</f>
        <v>14.493658895999998</v>
      </c>
      <c r="Z31" s="132">
        <f>_xlfn.XLOOKUP(Baukon_alle_A4_join[[#This Row],[Transport.Transport-Modus]],LeitRess_Materialien[Name],LeitRess_Materialien[WDP '[m³ weighted water/kg']])*Baukon_alle_A4_join[[#This Row],[Transportdistanz.Voreinstellung]]*Baukon_alle_A4_join[[#This Row],[Masse '[kg/m²'] Referenz]]</f>
        <v>0.15762452514013681</v>
      </c>
      <c r="AA31" s="132">
        <f>_xlfn.XLOOKUP(Baukon_alle_A4_join[[#This Row],[Transport.Transport-Modus]],LeitRess_Materialien[Name],LeitRess_Materialien[WDP '[m³ weighted water/kg']])*Baukon_alle_A4_join[[#This Row],[Transportdistanz.Voreinstellung]]*Baukon_alle_A4_join[[#This Row],[Masse '[kg/m²'] min]]</f>
        <v>0.15762452514013681</v>
      </c>
      <c r="AB31" s="132">
        <f>_xlfn.XLOOKUP(Baukon_alle_A4_join[[#This Row],[Transport.Transport-Modus]],LeitRess_Materialien[Name],LeitRess_Materialien[WDP '[m³ weighted water/kg']])*Baukon_alle_A4_join[[#This Row],[Transportdistanz.Voreinstellung]]*Baukon_alle_A4_join[[#This Row],[Masse '[kg/m²'] max]]</f>
        <v>0.15762452514013681</v>
      </c>
      <c r="AC31"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3.8594777249762748E-4</v>
      </c>
      <c r="AD31"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3.8594777249762748E-4</v>
      </c>
      <c r="AE31"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3.8594777249762748E-4</v>
      </c>
    </row>
    <row r="32" spans="1:31" x14ac:dyDescent="0.45">
      <c r="A32" t="s">
        <v>87</v>
      </c>
      <c r="B32" t="s">
        <v>308</v>
      </c>
      <c r="C32" t="s">
        <v>314</v>
      </c>
      <c r="D32" t="s">
        <v>96</v>
      </c>
      <c r="E32" t="s">
        <v>264</v>
      </c>
      <c r="F32" t="s">
        <v>264</v>
      </c>
      <c r="G32">
        <v>350</v>
      </c>
      <c r="H32">
        <v>350</v>
      </c>
      <c r="I32">
        <v>350</v>
      </c>
      <c r="K32" t="s">
        <v>17</v>
      </c>
      <c r="L32" t="s">
        <v>305</v>
      </c>
      <c r="M32" t="s">
        <v>253</v>
      </c>
      <c r="N32" s="132">
        <f>_xlfn.XLOOKUP(Baukon_alle_A4_join[[#This Row],[Transport.Transport-Modus]],LeitRess_Materialien[Name],LeitRess_Materialien[RMI '[kg Primärrohstoffe / kg']])*Baukon_alle_A4_join[[#This Row],[Transportdistanz.Voreinstellung]]*Baukon_alle_A4_join[[#This Row],[Masse '[kg/m²'] Referenz]]</f>
        <v>3.0535449180006777</v>
      </c>
      <c r="O32" s="132">
        <f>_xlfn.XLOOKUP(Baukon_alle_A4_join[[#This Row],[Transport.Transport-Modus]],LeitRess_Materialien[Name],LeitRess_Materialien[RMI '[kg Primärrohstoffe / kg']])*Baukon_alle_A4_join[[#This Row],[Transportdistanz.Voreinstellung]]*Baukon_alle_A4_join[[#This Row],[Masse '[kg/m²'] min]]</f>
        <v>3.0535449180006777</v>
      </c>
      <c r="P32" s="132">
        <f>_xlfn.XLOOKUP(Baukon_alle_A4_join[[#This Row],[Transport.Transport-Modus]],LeitRess_Materialien[Name],LeitRess_Materialien[RMI '[kg Primärrohstoffe / kg']])*Baukon_alle_A4_join[[#This Row],[Transportdistanz.Voreinstellung]]*Baukon_alle_A4_join[[#This Row],[Masse '[kg/m²'] max]]</f>
        <v>3.0535449180006777</v>
      </c>
      <c r="Q32" s="132">
        <f>_xlfn.XLOOKUP(Baukon_alle_A4_join[[#This Row],[Transport.Transport-Modus]],LeitRess_Materialien[Name],LeitRess_Materialien[TMR '[kg Gesamtmaterialaufwand/kg']])*Baukon_alle_A4_join[[#This Row],[Transportdistanz.Voreinstellung]]*Baukon_alle_A4_join[[#This Row],[Masse '[kg/m²'] Referenz]]</f>
        <v>3.6393580453865075</v>
      </c>
      <c r="R32" s="132">
        <f>_xlfn.XLOOKUP(Baukon_alle_A4_join[[#This Row],[Transport.Transport-Modus]],LeitRess_Materialien[Name],LeitRess_Materialien[TMR '[kg Gesamtmaterialaufwand/kg']])*Baukon_alle_A4_join[[#This Row],[Transportdistanz.Voreinstellung]]*Baukon_alle_A4_join[[#This Row],[Masse '[kg/m²'] min]]</f>
        <v>3.6393580453865075</v>
      </c>
      <c r="S32" s="132">
        <f>_xlfn.XLOOKUP(Baukon_alle_A4_join[[#This Row],[Transport.Transport-Modus]],LeitRess_Materialien[Name],LeitRess_Materialien[TMR '[kg Gesamtmaterialaufwand/kg']])*Baukon_alle_A4_join[[#This Row],[Transportdistanz.Voreinstellung]]*Baukon_alle_A4_join[[#This Row],[Masse '[kg/m²'] max]]</f>
        <v>3.6393580453865075</v>
      </c>
      <c r="T32" s="132">
        <f>_xlfn.XLOOKUP(Baukon_alle_A4_join[[#This Row],[Transport.Transport-Modus]],LeitRess_Materialien[Name],LeitRess_Materialien[GWP '[kg CO2-Äqu./kg']])*Baukon_alle_A4_join[[#This Row],[Transportdistanz.Voreinstellung]]*Baukon_alle_A4_join[[#This Row],[Masse '[kg/m²'] Referenz]]</f>
        <v>3.3876863655453873</v>
      </c>
      <c r="U32" s="132">
        <f>_xlfn.XLOOKUP(Baukon_alle_A4_join[[#This Row],[Transport.Transport-Modus]],LeitRess_Materialien[Name],LeitRess_Materialien[GWP '[kg CO2-Äqu./kg']])*Baukon_alle_A4_join[[#This Row],[Transportdistanz.Voreinstellung]]*Baukon_alle_A4_join[[#This Row],[Masse '[kg/m²'] min]]</f>
        <v>3.3876863655453873</v>
      </c>
      <c r="V32" s="132">
        <f>_xlfn.XLOOKUP(Baukon_alle_A4_join[[#This Row],[Transport.Transport-Modus]],LeitRess_Materialien[Name],LeitRess_Materialien[GWP '[kg CO2-Äqu./kg']])*Baukon_alle_A4_join[[#This Row],[Transportdistanz.Voreinstellung]]*Baukon_alle_A4_join[[#This Row],[Masse '[kg/m²'] max]]</f>
        <v>3.3876863655453873</v>
      </c>
      <c r="W32" s="132">
        <f>_xlfn.XLOOKUP(Baukon_alle_A4_join[[#This Row],[Transport.Transport-Modus]],LeitRess_Materialien[Name],LeitRess_Materialien[PENRT '[MJ/kg']])*Baukon_alle_A4_join[[#This Row],[Transportdistanz.Voreinstellung]]*Baukon_alle_A4_join[[#This Row],[Masse '[kg/m²'] Referenz]]</f>
        <v>21.136585889999999</v>
      </c>
      <c r="X32" s="132">
        <f>_xlfn.XLOOKUP(Baukon_alle_A4_join[[#This Row],[Transport.Transport-Modus]],LeitRess_Materialien[Name],LeitRess_Materialien[PENRT '[MJ/kg']])*Baukon_alle_A4_join[[#This Row],[Transportdistanz.Voreinstellung]]*Baukon_alle_A4_join[[#This Row],[Masse '[kg/m²'] min]]</f>
        <v>21.136585889999999</v>
      </c>
      <c r="Y32" s="132">
        <f>_xlfn.XLOOKUP(Baukon_alle_A4_join[[#This Row],[Transport.Transport-Modus]],LeitRess_Materialien[Name],LeitRess_Materialien[PENRT '[MJ/kg']])*Baukon_alle_A4_join[[#This Row],[Transportdistanz.Voreinstellung]]*Baukon_alle_A4_join[[#This Row],[Masse '[kg/m²'] max]]</f>
        <v>21.136585889999999</v>
      </c>
      <c r="Z32" s="132">
        <f>_xlfn.XLOOKUP(Baukon_alle_A4_join[[#This Row],[Transport.Transport-Modus]],LeitRess_Materialien[Name],LeitRess_Materialien[WDP '[m³ weighted water/kg']])*Baukon_alle_A4_join[[#This Row],[Transportdistanz.Voreinstellung]]*Baukon_alle_A4_join[[#This Row],[Masse '[kg/m²'] Referenz]]</f>
        <v>0.22986909916269949</v>
      </c>
      <c r="AA32" s="132">
        <f>_xlfn.XLOOKUP(Baukon_alle_A4_join[[#This Row],[Transport.Transport-Modus]],LeitRess_Materialien[Name],LeitRess_Materialien[WDP '[m³ weighted water/kg']])*Baukon_alle_A4_join[[#This Row],[Transportdistanz.Voreinstellung]]*Baukon_alle_A4_join[[#This Row],[Masse '[kg/m²'] min]]</f>
        <v>0.22986909916269949</v>
      </c>
      <c r="AB32" s="132">
        <f>_xlfn.XLOOKUP(Baukon_alle_A4_join[[#This Row],[Transport.Transport-Modus]],LeitRess_Materialien[Name],LeitRess_Materialien[WDP '[m³ weighted water/kg']])*Baukon_alle_A4_join[[#This Row],[Transportdistanz.Voreinstellung]]*Baukon_alle_A4_join[[#This Row],[Masse '[kg/m²'] max]]</f>
        <v>0.22986909916269949</v>
      </c>
      <c r="AC32"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5.6284050155903996E-4</v>
      </c>
      <c r="AD32"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5.6284050155903996E-4</v>
      </c>
      <c r="AE32"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5.6284050155903996E-4</v>
      </c>
    </row>
    <row r="33" spans="1:31" x14ac:dyDescent="0.45">
      <c r="A33" t="s">
        <v>87</v>
      </c>
      <c r="B33" t="s">
        <v>315</v>
      </c>
      <c r="C33" t="s">
        <v>10</v>
      </c>
      <c r="D33" t="s">
        <v>99</v>
      </c>
      <c r="E33" t="s">
        <v>265</v>
      </c>
      <c r="F33" t="s">
        <v>265</v>
      </c>
      <c r="G33">
        <v>220.82</v>
      </c>
      <c r="H33">
        <v>220.82</v>
      </c>
      <c r="I33">
        <v>220.82</v>
      </c>
      <c r="K33" t="s">
        <v>17</v>
      </c>
      <c r="L33" t="s">
        <v>305</v>
      </c>
      <c r="M33" t="s">
        <v>253</v>
      </c>
      <c r="N33" s="132">
        <f>_xlfn.XLOOKUP(Baukon_alle_A4_join[[#This Row],[Transport.Transport-Modus]],LeitRess_Materialien[Name],LeitRess_Materialien[RMI '[kg Primärrohstoffe / kg']])*Baukon_alle_A4_join[[#This Row],[Transportdistanz.Voreinstellung]]*Baukon_alle_A4_join[[#This Row],[Masse '[kg/m²'] Referenz]]</f>
        <v>1.9265251108368846</v>
      </c>
      <c r="O33" s="132">
        <f>_xlfn.XLOOKUP(Baukon_alle_A4_join[[#This Row],[Transport.Transport-Modus]],LeitRess_Materialien[Name],LeitRess_Materialien[RMI '[kg Primärrohstoffe / kg']])*Baukon_alle_A4_join[[#This Row],[Transportdistanz.Voreinstellung]]*Baukon_alle_A4_join[[#This Row],[Masse '[kg/m²'] min]]</f>
        <v>1.9265251108368846</v>
      </c>
      <c r="P33" s="132">
        <f>_xlfn.XLOOKUP(Baukon_alle_A4_join[[#This Row],[Transport.Transport-Modus]],LeitRess_Materialien[Name],LeitRess_Materialien[RMI '[kg Primärrohstoffe / kg']])*Baukon_alle_A4_join[[#This Row],[Transportdistanz.Voreinstellung]]*Baukon_alle_A4_join[[#This Row],[Masse '[kg/m²'] max]]</f>
        <v>1.9265251108368846</v>
      </c>
      <c r="Q33" s="132">
        <f>_xlfn.XLOOKUP(Baukon_alle_A4_join[[#This Row],[Transport.Transport-Modus]],LeitRess_Materialien[Name],LeitRess_Materialien[TMR '[kg Gesamtmaterialaufwand/kg']])*Baukon_alle_A4_join[[#This Row],[Transportdistanz.Voreinstellung]]*Baukon_alle_A4_join[[#This Row],[Masse '[kg/m²'] Referenz]]</f>
        <v>2.2961229816635673</v>
      </c>
      <c r="R33" s="132">
        <f>_xlfn.XLOOKUP(Baukon_alle_A4_join[[#This Row],[Transport.Transport-Modus]],LeitRess_Materialien[Name],LeitRess_Materialien[TMR '[kg Gesamtmaterialaufwand/kg']])*Baukon_alle_A4_join[[#This Row],[Transportdistanz.Voreinstellung]]*Baukon_alle_A4_join[[#This Row],[Masse '[kg/m²'] min]]</f>
        <v>2.2961229816635673</v>
      </c>
      <c r="S33" s="132">
        <f>_xlfn.XLOOKUP(Baukon_alle_A4_join[[#This Row],[Transport.Transport-Modus]],LeitRess_Materialien[Name],LeitRess_Materialien[TMR '[kg Gesamtmaterialaufwand/kg']])*Baukon_alle_A4_join[[#This Row],[Transportdistanz.Voreinstellung]]*Baukon_alle_A4_join[[#This Row],[Masse '[kg/m²'] max]]</f>
        <v>2.2961229816635673</v>
      </c>
      <c r="T33" s="132">
        <f>_xlfn.XLOOKUP(Baukon_alle_A4_join[[#This Row],[Transport.Transport-Modus]],LeitRess_Materialien[Name],LeitRess_Materialien[GWP '[kg CO2-Äqu./kg']])*Baukon_alle_A4_join[[#This Row],[Transportdistanz.Voreinstellung]]*Baukon_alle_A4_join[[#This Row],[Masse '[kg/m²'] Referenz]]</f>
        <v>2.1373397235420928</v>
      </c>
      <c r="U33" s="132">
        <f>_xlfn.XLOOKUP(Baukon_alle_A4_join[[#This Row],[Transport.Transport-Modus]],LeitRess_Materialien[Name],LeitRess_Materialien[GWP '[kg CO2-Äqu./kg']])*Baukon_alle_A4_join[[#This Row],[Transportdistanz.Voreinstellung]]*Baukon_alle_A4_join[[#This Row],[Masse '[kg/m²'] min]]</f>
        <v>2.1373397235420928</v>
      </c>
      <c r="V33" s="132">
        <f>_xlfn.XLOOKUP(Baukon_alle_A4_join[[#This Row],[Transport.Transport-Modus]],LeitRess_Materialien[Name],LeitRess_Materialien[GWP '[kg CO2-Äqu./kg']])*Baukon_alle_A4_join[[#This Row],[Transportdistanz.Voreinstellung]]*Baukon_alle_A4_join[[#This Row],[Masse '[kg/m²'] max]]</f>
        <v>2.1373397235420928</v>
      </c>
      <c r="W33" s="132">
        <f>_xlfn.XLOOKUP(Baukon_alle_A4_join[[#This Row],[Transport.Transport-Modus]],LeitRess_Materialien[Name],LeitRess_Materialien[PENRT '[MJ/kg']])*Baukon_alle_A4_join[[#This Row],[Transportdistanz.Voreinstellung]]*Baukon_alle_A4_join[[#This Row],[Masse '[kg/m²'] Referenz]]</f>
        <v>13.335373989227998</v>
      </c>
      <c r="X33" s="132">
        <f>_xlfn.XLOOKUP(Baukon_alle_A4_join[[#This Row],[Transport.Transport-Modus]],LeitRess_Materialien[Name],LeitRess_Materialien[PENRT '[MJ/kg']])*Baukon_alle_A4_join[[#This Row],[Transportdistanz.Voreinstellung]]*Baukon_alle_A4_join[[#This Row],[Masse '[kg/m²'] min]]</f>
        <v>13.335373989227998</v>
      </c>
      <c r="Y33" s="132">
        <f>_xlfn.XLOOKUP(Baukon_alle_A4_join[[#This Row],[Transport.Transport-Modus]],LeitRess_Materialien[Name],LeitRess_Materialien[PENRT '[MJ/kg']])*Baukon_alle_A4_join[[#This Row],[Transportdistanz.Voreinstellung]]*Baukon_alle_A4_join[[#This Row],[Masse '[kg/m²'] max]]</f>
        <v>13.335373989227998</v>
      </c>
      <c r="Z33" s="132">
        <f>_xlfn.XLOOKUP(Baukon_alle_A4_join[[#This Row],[Transport.Transport-Modus]],LeitRess_Materialien[Name],LeitRess_Materialien[WDP '[m³ weighted water/kg']])*Baukon_alle_A4_join[[#This Row],[Transportdistanz.Voreinstellung]]*Baukon_alle_A4_join[[#This Row],[Masse '[kg/m²'] Referenz]]</f>
        <v>0.14502769850602085</v>
      </c>
      <c r="AA33" s="132">
        <f>_xlfn.XLOOKUP(Baukon_alle_A4_join[[#This Row],[Transport.Transport-Modus]],LeitRess_Materialien[Name],LeitRess_Materialien[WDP '[m³ weighted water/kg']])*Baukon_alle_A4_join[[#This Row],[Transportdistanz.Voreinstellung]]*Baukon_alle_A4_join[[#This Row],[Masse '[kg/m²'] min]]</f>
        <v>0.14502769850602085</v>
      </c>
      <c r="AB33" s="132">
        <f>_xlfn.XLOOKUP(Baukon_alle_A4_join[[#This Row],[Transport.Transport-Modus]],LeitRess_Materialien[Name],LeitRess_Materialien[WDP '[m³ weighted water/kg']])*Baukon_alle_A4_join[[#This Row],[Transportdistanz.Voreinstellung]]*Baukon_alle_A4_join[[#This Row],[Masse '[kg/m²'] max]]</f>
        <v>0.14502769850602085</v>
      </c>
      <c r="AC33"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3.5510411301219207E-4</v>
      </c>
      <c r="AD33"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3.5510411301219207E-4</v>
      </c>
      <c r="AE33"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3.5510411301219207E-4</v>
      </c>
    </row>
    <row r="34" spans="1:31" x14ac:dyDescent="0.45">
      <c r="A34" t="s">
        <v>87</v>
      </c>
      <c r="B34" t="s">
        <v>311</v>
      </c>
      <c r="C34" t="s">
        <v>312</v>
      </c>
      <c r="D34" t="s">
        <v>97</v>
      </c>
      <c r="E34" t="s">
        <v>328</v>
      </c>
      <c r="F34" t="s">
        <v>266</v>
      </c>
      <c r="G34">
        <v>138</v>
      </c>
      <c r="H34">
        <v>138</v>
      </c>
      <c r="I34">
        <v>138</v>
      </c>
      <c r="K34" t="s">
        <v>17</v>
      </c>
      <c r="L34" t="s">
        <v>305</v>
      </c>
      <c r="M34" t="s">
        <v>253</v>
      </c>
      <c r="N34" s="132">
        <f>_xlfn.XLOOKUP(Baukon_alle_A4_join[[#This Row],[Transport.Transport-Modus]],LeitRess_Materialien[Name],LeitRess_Materialien[RMI '[kg Primärrohstoffe / kg']])*Baukon_alle_A4_join[[#This Row],[Transportdistanz.Voreinstellung]]*Baukon_alle_A4_join[[#This Row],[Masse '[kg/m²'] Referenz]]</f>
        <v>1.2039691390974101</v>
      </c>
      <c r="O34" s="132">
        <f>_xlfn.XLOOKUP(Baukon_alle_A4_join[[#This Row],[Transport.Transport-Modus]],LeitRess_Materialien[Name],LeitRess_Materialien[RMI '[kg Primärrohstoffe / kg']])*Baukon_alle_A4_join[[#This Row],[Transportdistanz.Voreinstellung]]*Baukon_alle_A4_join[[#This Row],[Masse '[kg/m²'] min]]</f>
        <v>1.2039691390974101</v>
      </c>
      <c r="P34" s="132">
        <f>_xlfn.XLOOKUP(Baukon_alle_A4_join[[#This Row],[Transport.Transport-Modus]],LeitRess_Materialien[Name],LeitRess_Materialien[RMI '[kg Primärrohstoffe / kg']])*Baukon_alle_A4_join[[#This Row],[Transportdistanz.Voreinstellung]]*Baukon_alle_A4_join[[#This Row],[Masse '[kg/m²'] max]]</f>
        <v>1.2039691390974101</v>
      </c>
      <c r="Q34" s="132">
        <f>_xlfn.XLOOKUP(Baukon_alle_A4_join[[#This Row],[Transport.Transport-Modus]],LeitRess_Materialien[Name],LeitRess_Materialien[TMR '[kg Gesamtmaterialaufwand/kg']])*Baukon_alle_A4_join[[#This Row],[Transportdistanz.Voreinstellung]]*Baukon_alle_A4_join[[#This Row],[Masse '[kg/m²'] Referenz]]</f>
        <v>1.4349468864666801</v>
      </c>
      <c r="R34" s="132">
        <f>_xlfn.XLOOKUP(Baukon_alle_A4_join[[#This Row],[Transport.Transport-Modus]],LeitRess_Materialien[Name],LeitRess_Materialien[TMR '[kg Gesamtmaterialaufwand/kg']])*Baukon_alle_A4_join[[#This Row],[Transportdistanz.Voreinstellung]]*Baukon_alle_A4_join[[#This Row],[Masse '[kg/m²'] min]]</f>
        <v>1.4349468864666801</v>
      </c>
      <c r="S34" s="132">
        <f>_xlfn.XLOOKUP(Baukon_alle_A4_join[[#This Row],[Transport.Transport-Modus]],LeitRess_Materialien[Name],LeitRess_Materialien[TMR '[kg Gesamtmaterialaufwand/kg']])*Baukon_alle_A4_join[[#This Row],[Transportdistanz.Voreinstellung]]*Baukon_alle_A4_join[[#This Row],[Masse '[kg/m²'] max]]</f>
        <v>1.4349468864666801</v>
      </c>
      <c r="T34" s="132">
        <f>_xlfn.XLOOKUP(Baukon_alle_A4_join[[#This Row],[Transport.Transport-Modus]],LeitRess_Materialien[Name],LeitRess_Materialien[GWP '[kg CO2-Äqu./kg']])*Baukon_alle_A4_join[[#This Row],[Transportdistanz.Voreinstellung]]*Baukon_alle_A4_join[[#This Row],[Masse '[kg/m²'] Referenz]]</f>
        <v>1.3357163384150383</v>
      </c>
      <c r="U34" s="132">
        <f>_xlfn.XLOOKUP(Baukon_alle_A4_join[[#This Row],[Transport.Transport-Modus]],LeitRess_Materialien[Name],LeitRess_Materialien[GWP '[kg CO2-Äqu./kg']])*Baukon_alle_A4_join[[#This Row],[Transportdistanz.Voreinstellung]]*Baukon_alle_A4_join[[#This Row],[Masse '[kg/m²'] min]]</f>
        <v>1.3357163384150383</v>
      </c>
      <c r="V34" s="132">
        <f>_xlfn.XLOOKUP(Baukon_alle_A4_join[[#This Row],[Transport.Transport-Modus]],LeitRess_Materialien[Name],LeitRess_Materialien[GWP '[kg CO2-Äqu./kg']])*Baukon_alle_A4_join[[#This Row],[Transportdistanz.Voreinstellung]]*Baukon_alle_A4_join[[#This Row],[Masse '[kg/m²'] max]]</f>
        <v>1.3357163384150383</v>
      </c>
      <c r="W34" s="132">
        <f>_xlfn.XLOOKUP(Baukon_alle_A4_join[[#This Row],[Transport.Transport-Modus]],LeitRess_Materialien[Name],LeitRess_Materialien[PENRT '[MJ/kg']])*Baukon_alle_A4_join[[#This Row],[Transportdistanz.Voreinstellung]]*Baukon_alle_A4_join[[#This Row],[Masse '[kg/m²'] Referenz]]</f>
        <v>8.3338538651999983</v>
      </c>
      <c r="X34" s="132">
        <f>_xlfn.XLOOKUP(Baukon_alle_A4_join[[#This Row],[Transport.Transport-Modus]],LeitRess_Materialien[Name],LeitRess_Materialien[PENRT '[MJ/kg']])*Baukon_alle_A4_join[[#This Row],[Transportdistanz.Voreinstellung]]*Baukon_alle_A4_join[[#This Row],[Masse '[kg/m²'] min]]</f>
        <v>8.3338538651999983</v>
      </c>
      <c r="Y34" s="132">
        <f>_xlfn.XLOOKUP(Baukon_alle_A4_join[[#This Row],[Transport.Transport-Modus]],LeitRess_Materialien[Name],LeitRess_Materialien[PENRT '[MJ/kg']])*Baukon_alle_A4_join[[#This Row],[Transportdistanz.Voreinstellung]]*Baukon_alle_A4_join[[#This Row],[Masse '[kg/m²'] max]]</f>
        <v>8.3338538651999983</v>
      </c>
      <c r="Z34" s="132">
        <f>_xlfn.XLOOKUP(Baukon_alle_A4_join[[#This Row],[Transport.Transport-Modus]],LeitRess_Materialien[Name],LeitRess_Materialien[WDP '[m³ weighted water/kg']])*Baukon_alle_A4_join[[#This Row],[Transportdistanz.Voreinstellung]]*Baukon_alle_A4_join[[#This Row],[Masse '[kg/m²'] Referenz]]</f>
        <v>9.0634101955578653E-2</v>
      </c>
      <c r="AA34" s="132">
        <f>_xlfn.XLOOKUP(Baukon_alle_A4_join[[#This Row],[Transport.Transport-Modus]],LeitRess_Materialien[Name],LeitRess_Materialien[WDP '[m³ weighted water/kg']])*Baukon_alle_A4_join[[#This Row],[Transportdistanz.Voreinstellung]]*Baukon_alle_A4_join[[#This Row],[Masse '[kg/m²'] min]]</f>
        <v>9.0634101955578653E-2</v>
      </c>
      <c r="AB34" s="132">
        <f>_xlfn.XLOOKUP(Baukon_alle_A4_join[[#This Row],[Transport.Transport-Modus]],LeitRess_Materialien[Name],LeitRess_Materialien[WDP '[m³ weighted water/kg']])*Baukon_alle_A4_join[[#This Row],[Transportdistanz.Voreinstellung]]*Baukon_alle_A4_join[[#This Row],[Masse '[kg/m²'] max]]</f>
        <v>9.0634101955578653E-2</v>
      </c>
      <c r="AC34"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2.2191996918613578E-4</v>
      </c>
      <c r="AD34"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2.2191996918613578E-4</v>
      </c>
      <c r="AE34"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2.2191996918613578E-4</v>
      </c>
    </row>
    <row r="35" spans="1:31" x14ac:dyDescent="0.45">
      <c r="A35" t="s">
        <v>87</v>
      </c>
      <c r="B35" t="s">
        <v>316</v>
      </c>
      <c r="C35" t="s">
        <v>312</v>
      </c>
      <c r="D35" t="s">
        <v>101</v>
      </c>
      <c r="E35" t="s">
        <v>328</v>
      </c>
      <c r="F35" t="s">
        <v>266</v>
      </c>
      <c r="G35">
        <v>138</v>
      </c>
      <c r="H35">
        <v>138</v>
      </c>
      <c r="I35">
        <v>138</v>
      </c>
      <c r="K35" t="s">
        <v>17</v>
      </c>
      <c r="L35" t="s">
        <v>305</v>
      </c>
      <c r="M35" t="s">
        <v>253</v>
      </c>
      <c r="N35" s="132">
        <f>_xlfn.XLOOKUP(Baukon_alle_A4_join[[#This Row],[Transport.Transport-Modus]],LeitRess_Materialien[Name],LeitRess_Materialien[RMI '[kg Primärrohstoffe / kg']])*Baukon_alle_A4_join[[#This Row],[Transportdistanz.Voreinstellung]]*Baukon_alle_A4_join[[#This Row],[Masse '[kg/m²'] Referenz]]</f>
        <v>1.2039691390974101</v>
      </c>
      <c r="O35" s="132">
        <f>_xlfn.XLOOKUP(Baukon_alle_A4_join[[#This Row],[Transport.Transport-Modus]],LeitRess_Materialien[Name],LeitRess_Materialien[RMI '[kg Primärrohstoffe / kg']])*Baukon_alle_A4_join[[#This Row],[Transportdistanz.Voreinstellung]]*Baukon_alle_A4_join[[#This Row],[Masse '[kg/m²'] min]]</f>
        <v>1.2039691390974101</v>
      </c>
      <c r="P35" s="132">
        <f>_xlfn.XLOOKUP(Baukon_alle_A4_join[[#This Row],[Transport.Transport-Modus]],LeitRess_Materialien[Name],LeitRess_Materialien[RMI '[kg Primärrohstoffe / kg']])*Baukon_alle_A4_join[[#This Row],[Transportdistanz.Voreinstellung]]*Baukon_alle_A4_join[[#This Row],[Masse '[kg/m²'] max]]</f>
        <v>1.2039691390974101</v>
      </c>
      <c r="Q35" s="132">
        <f>_xlfn.XLOOKUP(Baukon_alle_A4_join[[#This Row],[Transport.Transport-Modus]],LeitRess_Materialien[Name],LeitRess_Materialien[TMR '[kg Gesamtmaterialaufwand/kg']])*Baukon_alle_A4_join[[#This Row],[Transportdistanz.Voreinstellung]]*Baukon_alle_A4_join[[#This Row],[Masse '[kg/m²'] Referenz]]</f>
        <v>1.4349468864666801</v>
      </c>
      <c r="R35" s="132">
        <f>_xlfn.XLOOKUP(Baukon_alle_A4_join[[#This Row],[Transport.Transport-Modus]],LeitRess_Materialien[Name],LeitRess_Materialien[TMR '[kg Gesamtmaterialaufwand/kg']])*Baukon_alle_A4_join[[#This Row],[Transportdistanz.Voreinstellung]]*Baukon_alle_A4_join[[#This Row],[Masse '[kg/m²'] min]]</f>
        <v>1.4349468864666801</v>
      </c>
      <c r="S35" s="132">
        <f>_xlfn.XLOOKUP(Baukon_alle_A4_join[[#This Row],[Transport.Transport-Modus]],LeitRess_Materialien[Name],LeitRess_Materialien[TMR '[kg Gesamtmaterialaufwand/kg']])*Baukon_alle_A4_join[[#This Row],[Transportdistanz.Voreinstellung]]*Baukon_alle_A4_join[[#This Row],[Masse '[kg/m²'] max]]</f>
        <v>1.4349468864666801</v>
      </c>
      <c r="T35" s="132">
        <f>_xlfn.XLOOKUP(Baukon_alle_A4_join[[#This Row],[Transport.Transport-Modus]],LeitRess_Materialien[Name],LeitRess_Materialien[GWP '[kg CO2-Äqu./kg']])*Baukon_alle_A4_join[[#This Row],[Transportdistanz.Voreinstellung]]*Baukon_alle_A4_join[[#This Row],[Masse '[kg/m²'] Referenz]]</f>
        <v>1.3357163384150383</v>
      </c>
      <c r="U35" s="132">
        <f>_xlfn.XLOOKUP(Baukon_alle_A4_join[[#This Row],[Transport.Transport-Modus]],LeitRess_Materialien[Name],LeitRess_Materialien[GWP '[kg CO2-Äqu./kg']])*Baukon_alle_A4_join[[#This Row],[Transportdistanz.Voreinstellung]]*Baukon_alle_A4_join[[#This Row],[Masse '[kg/m²'] min]]</f>
        <v>1.3357163384150383</v>
      </c>
      <c r="V35" s="132">
        <f>_xlfn.XLOOKUP(Baukon_alle_A4_join[[#This Row],[Transport.Transport-Modus]],LeitRess_Materialien[Name],LeitRess_Materialien[GWP '[kg CO2-Äqu./kg']])*Baukon_alle_A4_join[[#This Row],[Transportdistanz.Voreinstellung]]*Baukon_alle_A4_join[[#This Row],[Masse '[kg/m²'] max]]</f>
        <v>1.3357163384150383</v>
      </c>
      <c r="W35" s="132">
        <f>_xlfn.XLOOKUP(Baukon_alle_A4_join[[#This Row],[Transport.Transport-Modus]],LeitRess_Materialien[Name],LeitRess_Materialien[PENRT '[MJ/kg']])*Baukon_alle_A4_join[[#This Row],[Transportdistanz.Voreinstellung]]*Baukon_alle_A4_join[[#This Row],[Masse '[kg/m²'] Referenz]]</f>
        <v>8.3338538651999983</v>
      </c>
      <c r="X35" s="132">
        <f>_xlfn.XLOOKUP(Baukon_alle_A4_join[[#This Row],[Transport.Transport-Modus]],LeitRess_Materialien[Name],LeitRess_Materialien[PENRT '[MJ/kg']])*Baukon_alle_A4_join[[#This Row],[Transportdistanz.Voreinstellung]]*Baukon_alle_A4_join[[#This Row],[Masse '[kg/m²'] min]]</f>
        <v>8.3338538651999983</v>
      </c>
      <c r="Y35" s="132">
        <f>_xlfn.XLOOKUP(Baukon_alle_A4_join[[#This Row],[Transport.Transport-Modus]],LeitRess_Materialien[Name],LeitRess_Materialien[PENRT '[MJ/kg']])*Baukon_alle_A4_join[[#This Row],[Transportdistanz.Voreinstellung]]*Baukon_alle_A4_join[[#This Row],[Masse '[kg/m²'] max]]</f>
        <v>8.3338538651999983</v>
      </c>
      <c r="Z35" s="132">
        <f>_xlfn.XLOOKUP(Baukon_alle_A4_join[[#This Row],[Transport.Transport-Modus]],LeitRess_Materialien[Name],LeitRess_Materialien[WDP '[m³ weighted water/kg']])*Baukon_alle_A4_join[[#This Row],[Transportdistanz.Voreinstellung]]*Baukon_alle_A4_join[[#This Row],[Masse '[kg/m²'] Referenz]]</f>
        <v>9.0634101955578653E-2</v>
      </c>
      <c r="AA35" s="132">
        <f>_xlfn.XLOOKUP(Baukon_alle_A4_join[[#This Row],[Transport.Transport-Modus]],LeitRess_Materialien[Name],LeitRess_Materialien[WDP '[m³ weighted water/kg']])*Baukon_alle_A4_join[[#This Row],[Transportdistanz.Voreinstellung]]*Baukon_alle_A4_join[[#This Row],[Masse '[kg/m²'] min]]</f>
        <v>9.0634101955578653E-2</v>
      </c>
      <c r="AB35" s="132">
        <f>_xlfn.XLOOKUP(Baukon_alle_A4_join[[#This Row],[Transport.Transport-Modus]],LeitRess_Materialien[Name],LeitRess_Materialien[WDP '[m³ weighted water/kg']])*Baukon_alle_A4_join[[#This Row],[Transportdistanz.Voreinstellung]]*Baukon_alle_A4_join[[#This Row],[Masse '[kg/m²'] max]]</f>
        <v>9.0634101955578653E-2</v>
      </c>
      <c r="AC35"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2.2191996918613578E-4</v>
      </c>
      <c r="AD35"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2.2191996918613578E-4</v>
      </c>
      <c r="AE35"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2.2191996918613578E-4</v>
      </c>
    </row>
    <row r="36" spans="1:31" x14ac:dyDescent="0.45">
      <c r="A36" t="s">
        <v>87</v>
      </c>
      <c r="B36" t="s">
        <v>308</v>
      </c>
      <c r="C36" t="s">
        <v>309</v>
      </c>
      <c r="D36" t="s">
        <v>90</v>
      </c>
      <c r="E36" t="s">
        <v>329</v>
      </c>
      <c r="F36" t="s">
        <v>269</v>
      </c>
      <c r="G36">
        <v>3.5</v>
      </c>
      <c r="H36">
        <v>2.5</v>
      </c>
      <c r="I36">
        <v>5.5</v>
      </c>
      <c r="K36" t="s">
        <v>17</v>
      </c>
      <c r="L36" t="s">
        <v>305</v>
      </c>
      <c r="M36" t="s">
        <v>253</v>
      </c>
      <c r="N36" s="132">
        <f>_xlfn.XLOOKUP(Baukon_alle_A4_join[[#This Row],[Transport.Transport-Modus]],LeitRess_Materialien[Name],LeitRess_Materialien[RMI '[kg Primärrohstoffe / kg']])*Baukon_alle_A4_join[[#This Row],[Transportdistanz.Voreinstellung]]*Baukon_alle_A4_join[[#This Row],[Masse '[kg/m²'] Referenz]]</f>
        <v>3.0535449180006776E-2</v>
      </c>
      <c r="O36" s="132">
        <f>_xlfn.XLOOKUP(Baukon_alle_A4_join[[#This Row],[Transport.Transport-Modus]],LeitRess_Materialien[Name],LeitRess_Materialien[RMI '[kg Primärrohstoffe / kg']])*Baukon_alle_A4_join[[#This Row],[Transportdistanz.Voreinstellung]]*Baukon_alle_A4_join[[#This Row],[Masse '[kg/m²'] min]]</f>
        <v>2.1811035128576267E-2</v>
      </c>
      <c r="P36" s="132">
        <f>_xlfn.XLOOKUP(Baukon_alle_A4_join[[#This Row],[Transport.Transport-Modus]],LeitRess_Materialien[Name],LeitRess_Materialien[RMI '[kg Primärrohstoffe / kg']])*Baukon_alle_A4_join[[#This Row],[Transportdistanz.Voreinstellung]]*Baukon_alle_A4_join[[#This Row],[Masse '[kg/m²'] max]]</f>
        <v>4.798427728286779E-2</v>
      </c>
      <c r="Q36" s="132">
        <f>_xlfn.XLOOKUP(Baukon_alle_A4_join[[#This Row],[Transport.Transport-Modus]],LeitRess_Materialien[Name],LeitRess_Materialien[TMR '[kg Gesamtmaterialaufwand/kg']])*Baukon_alle_A4_join[[#This Row],[Transportdistanz.Voreinstellung]]*Baukon_alle_A4_join[[#This Row],[Masse '[kg/m²'] Referenz]]</f>
        <v>3.6393580453865079E-2</v>
      </c>
      <c r="R36" s="132">
        <f>_xlfn.XLOOKUP(Baukon_alle_A4_join[[#This Row],[Transport.Transport-Modus]],LeitRess_Materialien[Name],LeitRess_Materialien[TMR '[kg Gesamtmaterialaufwand/kg']])*Baukon_alle_A4_join[[#This Row],[Transportdistanz.Voreinstellung]]*Baukon_alle_A4_join[[#This Row],[Masse '[kg/m²'] min]]</f>
        <v>2.5995414609903626E-2</v>
      </c>
      <c r="S36" s="132">
        <f>_xlfn.XLOOKUP(Baukon_alle_A4_join[[#This Row],[Transport.Transport-Modus]],LeitRess_Materialien[Name],LeitRess_Materialien[TMR '[kg Gesamtmaterialaufwand/kg']])*Baukon_alle_A4_join[[#This Row],[Transportdistanz.Voreinstellung]]*Baukon_alle_A4_join[[#This Row],[Masse '[kg/m²'] max]]</f>
        <v>5.718991214178798E-2</v>
      </c>
      <c r="T36" s="132">
        <f>_xlfn.XLOOKUP(Baukon_alle_A4_join[[#This Row],[Transport.Transport-Modus]],LeitRess_Materialien[Name],LeitRess_Materialien[GWP '[kg CO2-Äqu./kg']])*Baukon_alle_A4_join[[#This Row],[Transportdistanz.Voreinstellung]]*Baukon_alle_A4_join[[#This Row],[Masse '[kg/m²'] Referenz]]</f>
        <v>3.3876863655453872E-2</v>
      </c>
      <c r="U36" s="132">
        <f>_xlfn.XLOOKUP(Baukon_alle_A4_join[[#This Row],[Transport.Transport-Modus]],LeitRess_Materialien[Name],LeitRess_Materialien[GWP '[kg CO2-Äqu./kg']])*Baukon_alle_A4_join[[#This Row],[Transportdistanz.Voreinstellung]]*Baukon_alle_A4_join[[#This Row],[Masse '[kg/m²'] min]]</f>
        <v>2.4197759753895626E-2</v>
      </c>
      <c r="V36" s="132">
        <f>_xlfn.XLOOKUP(Baukon_alle_A4_join[[#This Row],[Transport.Transport-Modus]],LeitRess_Materialien[Name],LeitRess_Materialien[GWP '[kg CO2-Äqu./kg']])*Baukon_alle_A4_join[[#This Row],[Transportdistanz.Voreinstellung]]*Baukon_alle_A4_join[[#This Row],[Masse '[kg/m²'] max]]</f>
        <v>5.3235071458570371E-2</v>
      </c>
      <c r="W36" s="132">
        <f>_xlfn.XLOOKUP(Baukon_alle_A4_join[[#This Row],[Transport.Transport-Modus]],LeitRess_Materialien[Name],LeitRess_Materialien[PENRT '[MJ/kg']])*Baukon_alle_A4_join[[#This Row],[Transportdistanz.Voreinstellung]]*Baukon_alle_A4_join[[#This Row],[Masse '[kg/m²'] Referenz]]</f>
        <v>0.21136585889999998</v>
      </c>
      <c r="X36" s="132">
        <f>_xlfn.XLOOKUP(Baukon_alle_A4_join[[#This Row],[Transport.Transport-Modus]],LeitRess_Materialien[Name],LeitRess_Materialien[PENRT '[MJ/kg']])*Baukon_alle_A4_join[[#This Row],[Transportdistanz.Voreinstellung]]*Baukon_alle_A4_join[[#This Row],[Masse '[kg/m²'] min]]</f>
        <v>0.15097561349999999</v>
      </c>
      <c r="Y36" s="132">
        <f>_xlfn.XLOOKUP(Baukon_alle_A4_join[[#This Row],[Transport.Transport-Modus]],LeitRess_Materialien[Name],LeitRess_Materialien[PENRT '[MJ/kg']])*Baukon_alle_A4_join[[#This Row],[Transportdistanz.Voreinstellung]]*Baukon_alle_A4_join[[#This Row],[Masse '[kg/m²'] max]]</f>
        <v>0.33214634969999995</v>
      </c>
      <c r="Z36" s="132">
        <f>_xlfn.XLOOKUP(Baukon_alle_A4_join[[#This Row],[Transport.Transport-Modus]],LeitRess_Materialien[Name],LeitRess_Materialien[WDP '[m³ weighted water/kg']])*Baukon_alle_A4_join[[#This Row],[Transportdistanz.Voreinstellung]]*Baukon_alle_A4_join[[#This Row],[Masse '[kg/m²'] Referenz]]</f>
        <v>2.2986909916269949E-3</v>
      </c>
      <c r="AA36" s="132">
        <f>_xlfn.XLOOKUP(Baukon_alle_A4_join[[#This Row],[Transport.Transport-Modus]],LeitRess_Materialien[Name],LeitRess_Materialien[WDP '[m³ weighted water/kg']])*Baukon_alle_A4_join[[#This Row],[Transportdistanz.Voreinstellung]]*Baukon_alle_A4_join[[#This Row],[Masse '[kg/m²'] min]]</f>
        <v>1.641922136876425E-3</v>
      </c>
      <c r="AB36" s="132">
        <f>_xlfn.XLOOKUP(Baukon_alle_A4_join[[#This Row],[Transport.Transport-Modus]],LeitRess_Materialien[Name],LeitRess_Materialien[WDP '[m³ weighted water/kg']])*Baukon_alle_A4_join[[#This Row],[Transportdistanz.Voreinstellung]]*Baukon_alle_A4_join[[#This Row],[Masse '[kg/m²'] max]]</f>
        <v>3.612228701128135E-3</v>
      </c>
      <c r="AC36"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5.6284050155904009E-6</v>
      </c>
      <c r="AD36"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4.020289296850286E-6</v>
      </c>
      <c r="AE36"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8.844636453070629E-6</v>
      </c>
    </row>
    <row r="37" spans="1:31" x14ac:dyDescent="0.45">
      <c r="A37" t="s">
        <v>87</v>
      </c>
      <c r="B37" t="s">
        <v>316</v>
      </c>
      <c r="C37" t="s">
        <v>312</v>
      </c>
      <c r="D37" t="s">
        <v>101</v>
      </c>
      <c r="E37" t="s">
        <v>330</v>
      </c>
      <c r="F37" t="s">
        <v>267</v>
      </c>
      <c r="G37">
        <v>216</v>
      </c>
      <c r="H37">
        <v>216</v>
      </c>
      <c r="I37">
        <v>216</v>
      </c>
      <c r="K37" t="s">
        <v>17</v>
      </c>
      <c r="L37" t="s">
        <v>305</v>
      </c>
      <c r="M37" t="s">
        <v>253</v>
      </c>
      <c r="N37" s="132">
        <f>_xlfn.XLOOKUP(Baukon_alle_A4_join[[#This Row],[Transport.Transport-Modus]],LeitRess_Materialien[Name],LeitRess_Materialien[RMI '[kg Primärrohstoffe / kg']])*Baukon_alle_A4_join[[#This Row],[Transportdistanz.Voreinstellung]]*Baukon_alle_A4_join[[#This Row],[Masse '[kg/m²'] Referenz]]</f>
        <v>1.8844734351089896</v>
      </c>
      <c r="O37" s="132">
        <f>_xlfn.XLOOKUP(Baukon_alle_A4_join[[#This Row],[Transport.Transport-Modus]],LeitRess_Materialien[Name],LeitRess_Materialien[RMI '[kg Primärrohstoffe / kg']])*Baukon_alle_A4_join[[#This Row],[Transportdistanz.Voreinstellung]]*Baukon_alle_A4_join[[#This Row],[Masse '[kg/m²'] min]]</f>
        <v>1.8844734351089896</v>
      </c>
      <c r="P37" s="132">
        <f>_xlfn.XLOOKUP(Baukon_alle_A4_join[[#This Row],[Transport.Transport-Modus]],LeitRess_Materialien[Name],LeitRess_Materialien[RMI '[kg Primärrohstoffe / kg']])*Baukon_alle_A4_join[[#This Row],[Transportdistanz.Voreinstellung]]*Baukon_alle_A4_join[[#This Row],[Masse '[kg/m²'] max]]</f>
        <v>1.8844734351089896</v>
      </c>
      <c r="Q37" s="132">
        <f>_xlfn.XLOOKUP(Baukon_alle_A4_join[[#This Row],[Transport.Transport-Modus]],LeitRess_Materialien[Name],LeitRess_Materialien[TMR '[kg Gesamtmaterialaufwand/kg']])*Baukon_alle_A4_join[[#This Row],[Transportdistanz.Voreinstellung]]*Baukon_alle_A4_join[[#This Row],[Masse '[kg/m²'] Referenz]]</f>
        <v>2.2460038222956733</v>
      </c>
      <c r="R37" s="132">
        <f>_xlfn.XLOOKUP(Baukon_alle_A4_join[[#This Row],[Transport.Transport-Modus]],LeitRess_Materialien[Name],LeitRess_Materialien[TMR '[kg Gesamtmaterialaufwand/kg']])*Baukon_alle_A4_join[[#This Row],[Transportdistanz.Voreinstellung]]*Baukon_alle_A4_join[[#This Row],[Masse '[kg/m²'] min]]</f>
        <v>2.2460038222956733</v>
      </c>
      <c r="S37" s="132">
        <f>_xlfn.XLOOKUP(Baukon_alle_A4_join[[#This Row],[Transport.Transport-Modus]],LeitRess_Materialien[Name],LeitRess_Materialien[TMR '[kg Gesamtmaterialaufwand/kg']])*Baukon_alle_A4_join[[#This Row],[Transportdistanz.Voreinstellung]]*Baukon_alle_A4_join[[#This Row],[Masse '[kg/m²'] max]]</f>
        <v>2.2460038222956733</v>
      </c>
      <c r="T37" s="132">
        <f>_xlfn.XLOOKUP(Baukon_alle_A4_join[[#This Row],[Transport.Transport-Modus]],LeitRess_Materialien[Name],LeitRess_Materialien[GWP '[kg CO2-Äqu./kg']])*Baukon_alle_A4_join[[#This Row],[Transportdistanz.Voreinstellung]]*Baukon_alle_A4_join[[#This Row],[Masse '[kg/m²'] Referenz]]</f>
        <v>2.0906864427365819</v>
      </c>
      <c r="U37" s="132">
        <f>_xlfn.XLOOKUP(Baukon_alle_A4_join[[#This Row],[Transport.Transport-Modus]],LeitRess_Materialien[Name],LeitRess_Materialien[GWP '[kg CO2-Äqu./kg']])*Baukon_alle_A4_join[[#This Row],[Transportdistanz.Voreinstellung]]*Baukon_alle_A4_join[[#This Row],[Masse '[kg/m²'] min]]</f>
        <v>2.0906864427365819</v>
      </c>
      <c r="V37" s="132">
        <f>_xlfn.XLOOKUP(Baukon_alle_A4_join[[#This Row],[Transport.Transport-Modus]],LeitRess_Materialien[Name],LeitRess_Materialien[GWP '[kg CO2-Äqu./kg']])*Baukon_alle_A4_join[[#This Row],[Transportdistanz.Voreinstellung]]*Baukon_alle_A4_join[[#This Row],[Masse '[kg/m²'] max]]</f>
        <v>2.0906864427365819</v>
      </c>
      <c r="W37" s="132">
        <f>_xlfn.XLOOKUP(Baukon_alle_A4_join[[#This Row],[Transport.Transport-Modus]],LeitRess_Materialien[Name],LeitRess_Materialien[PENRT '[MJ/kg']])*Baukon_alle_A4_join[[#This Row],[Transportdistanz.Voreinstellung]]*Baukon_alle_A4_join[[#This Row],[Masse '[kg/m²'] Referenz]]</f>
        <v>13.044293006399998</v>
      </c>
      <c r="X37" s="132">
        <f>_xlfn.XLOOKUP(Baukon_alle_A4_join[[#This Row],[Transport.Transport-Modus]],LeitRess_Materialien[Name],LeitRess_Materialien[PENRT '[MJ/kg']])*Baukon_alle_A4_join[[#This Row],[Transportdistanz.Voreinstellung]]*Baukon_alle_A4_join[[#This Row],[Masse '[kg/m²'] min]]</f>
        <v>13.044293006399998</v>
      </c>
      <c r="Y37" s="132">
        <f>_xlfn.XLOOKUP(Baukon_alle_A4_join[[#This Row],[Transport.Transport-Modus]],LeitRess_Materialien[Name],LeitRess_Materialien[PENRT '[MJ/kg']])*Baukon_alle_A4_join[[#This Row],[Transportdistanz.Voreinstellung]]*Baukon_alle_A4_join[[#This Row],[Masse '[kg/m²'] max]]</f>
        <v>13.044293006399998</v>
      </c>
      <c r="Z37" s="132">
        <f>_xlfn.XLOOKUP(Baukon_alle_A4_join[[#This Row],[Transport.Transport-Modus]],LeitRess_Materialien[Name],LeitRess_Materialien[WDP '[m³ weighted water/kg']])*Baukon_alle_A4_join[[#This Row],[Transportdistanz.Voreinstellung]]*Baukon_alle_A4_join[[#This Row],[Masse '[kg/m²'] Referenz]]</f>
        <v>0.1418620726261231</v>
      </c>
      <c r="AA37" s="132">
        <f>_xlfn.XLOOKUP(Baukon_alle_A4_join[[#This Row],[Transport.Transport-Modus]],LeitRess_Materialien[Name],LeitRess_Materialien[WDP '[m³ weighted water/kg']])*Baukon_alle_A4_join[[#This Row],[Transportdistanz.Voreinstellung]]*Baukon_alle_A4_join[[#This Row],[Masse '[kg/m²'] min]]</f>
        <v>0.1418620726261231</v>
      </c>
      <c r="AB37" s="132">
        <f>_xlfn.XLOOKUP(Baukon_alle_A4_join[[#This Row],[Transport.Transport-Modus]],LeitRess_Materialien[Name],LeitRess_Materialien[WDP '[m³ weighted water/kg']])*Baukon_alle_A4_join[[#This Row],[Transportdistanz.Voreinstellung]]*Baukon_alle_A4_join[[#This Row],[Masse '[kg/m²'] max]]</f>
        <v>0.1418620726261231</v>
      </c>
      <c r="AC37"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3.4735299524786469E-4</v>
      </c>
      <c r="AD37"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3.4735299524786469E-4</v>
      </c>
      <c r="AE37"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3.4735299524786469E-4</v>
      </c>
    </row>
    <row r="38" spans="1:31" x14ac:dyDescent="0.45">
      <c r="A38" t="s">
        <v>87</v>
      </c>
      <c r="B38" t="s">
        <v>311</v>
      </c>
      <c r="C38" t="s">
        <v>312</v>
      </c>
      <c r="D38" t="s">
        <v>97</v>
      </c>
      <c r="E38" t="s">
        <v>331</v>
      </c>
      <c r="F38" t="s">
        <v>227</v>
      </c>
      <c r="G38">
        <v>5.55</v>
      </c>
      <c r="H38">
        <v>3.7</v>
      </c>
      <c r="I38">
        <v>9.25</v>
      </c>
      <c r="K38" t="s">
        <v>17</v>
      </c>
      <c r="L38" t="s">
        <v>305</v>
      </c>
      <c r="M38" t="s">
        <v>253</v>
      </c>
      <c r="N38" s="132">
        <f>_xlfn.XLOOKUP(Baukon_alle_A4_join[[#This Row],[Transport.Transport-Modus]],LeitRess_Materialien[Name],LeitRess_Materialien[RMI '[kg Primärrohstoffe / kg']])*Baukon_alle_A4_join[[#This Row],[Transportdistanz.Voreinstellung]]*Baukon_alle_A4_join[[#This Row],[Masse '[kg/m²'] Referenz]]</f>
        <v>4.8420497985439313E-2</v>
      </c>
      <c r="O38" s="132">
        <f>_xlfn.XLOOKUP(Baukon_alle_A4_join[[#This Row],[Transport.Transport-Modus]],LeitRess_Materialien[Name],LeitRess_Materialien[RMI '[kg Primärrohstoffe / kg']])*Baukon_alle_A4_join[[#This Row],[Transportdistanz.Voreinstellung]]*Baukon_alle_A4_join[[#This Row],[Masse '[kg/m²'] min]]</f>
        <v>3.2280331990292878E-2</v>
      </c>
      <c r="P38" s="132">
        <f>_xlfn.XLOOKUP(Baukon_alle_A4_join[[#This Row],[Transport.Transport-Modus]],LeitRess_Materialien[Name],LeitRess_Materialien[RMI '[kg Primärrohstoffe / kg']])*Baukon_alle_A4_join[[#This Row],[Transportdistanz.Voreinstellung]]*Baukon_alle_A4_join[[#This Row],[Masse '[kg/m²'] max]]</f>
        <v>8.0700829975732191E-2</v>
      </c>
      <c r="Q38" s="132">
        <f>_xlfn.XLOOKUP(Baukon_alle_A4_join[[#This Row],[Transport.Transport-Modus]],LeitRess_Materialien[Name],LeitRess_Materialien[TMR '[kg Gesamtmaterialaufwand/kg']])*Baukon_alle_A4_join[[#This Row],[Transportdistanz.Voreinstellung]]*Baukon_alle_A4_join[[#This Row],[Masse '[kg/m²'] Referenz]]</f>
        <v>5.7709820433986043E-2</v>
      </c>
      <c r="R38" s="132">
        <f>_xlfn.XLOOKUP(Baukon_alle_A4_join[[#This Row],[Transport.Transport-Modus]],LeitRess_Materialien[Name],LeitRess_Materialien[TMR '[kg Gesamtmaterialaufwand/kg']])*Baukon_alle_A4_join[[#This Row],[Transportdistanz.Voreinstellung]]*Baukon_alle_A4_join[[#This Row],[Masse '[kg/m²'] min]]</f>
        <v>3.8473213622657369E-2</v>
      </c>
      <c r="S38" s="132">
        <f>_xlfn.XLOOKUP(Baukon_alle_A4_join[[#This Row],[Transport.Transport-Modus]],LeitRess_Materialien[Name],LeitRess_Materialien[TMR '[kg Gesamtmaterialaufwand/kg']])*Baukon_alle_A4_join[[#This Row],[Transportdistanz.Voreinstellung]]*Baukon_alle_A4_join[[#This Row],[Masse '[kg/m²'] max]]</f>
        <v>9.6183034056643413E-2</v>
      </c>
      <c r="T38" s="132">
        <f>_xlfn.XLOOKUP(Baukon_alle_A4_join[[#This Row],[Transport.Transport-Modus]],LeitRess_Materialien[Name],LeitRess_Materialien[GWP '[kg CO2-Äqu./kg']])*Baukon_alle_A4_join[[#This Row],[Transportdistanz.Voreinstellung]]*Baukon_alle_A4_join[[#This Row],[Masse '[kg/m²'] Referenz]]</f>
        <v>5.3719026653648284E-2</v>
      </c>
      <c r="U38" s="132">
        <f>_xlfn.XLOOKUP(Baukon_alle_A4_join[[#This Row],[Transport.Transport-Modus]],LeitRess_Materialien[Name],LeitRess_Materialien[GWP '[kg CO2-Äqu./kg']])*Baukon_alle_A4_join[[#This Row],[Transportdistanz.Voreinstellung]]*Baukon_alle_A4_join[[#This Row],[Masse '[kg/m²'] min]]</f>
        <v>3.5812684435765525E-2</v>
      </c>
      <c r="V38" s="132">
        <f>_xlfn.XLOOKUP(Baukon_alle_A4_join[[#This Row],[Transport.Transport-Modus]],LeitRess_Materialien[Name],LeitRess_Materialien[GWP '[kg CO2-Äqu./kg']])*Baukon_alle_A4_join[[#This Row],[Transportdistanz.Voreinstellung]]*Baukon_alle_A4_join[[#This Row],[Masse '[kg/m²'] max]]</f>
        <v>8.953171108941381E-2</v>
      </c>
      <c r="W38" s="132">
        <f>_xlfn.XLOOKUP(Baukon_alle_A4_join[[#This Row],[Transport.Transport-Modus]],LeitRess_Materialien[Name],LeitRess_Materialien[PENRT '[MJ/kg']])*Baukon_alle_A4_join[[#This Row],[Transportdistanz.Voreinstellung]]*Baukon_alle_A4_join[[#This Row],[Masse '[kg/m²'] Referenz]]</f>
        <v>0.33516586196999998</v>
      </c>
      <c r="X38" s="132">
        <f>_xlfn.XLOOKUP(Baukon_alle_A4_join[[#This Row],[Transport.Transport-Modus]],LeitRess_Materialien[Name],LeitRess_Materialien[PENRT '[MJ/kg']])*Baukon_alle_A4_join[[#This Row],[Transportdistanz.Voreinstellung]]*Baukon_alle_A4_join[[#This Row],[Masse '[kg/m²'] min]]</f>
        <v>0.22344390797999999</v>
      </c>
      <c r="Y38" s="132">
        <f>_xlfn.XLOOKUP(Baukon_alle_A4_join[[#This Row],[Transport.Transport-Modus]],LeitRess_Materialien[Name],LeitRess_Materialien[PENRT '[MJ/kg']])*Baukon_alle_A4_join[[#This Row],[Transportdistanz.Voreinstellung]]*Baukon_alle_A4_join[[#This Row],[Masse '[kg/m²'] max]]</f>
        <v>0.55860976994999989</v>
      </c>
      <c r="Z38" s="132">
        <f>_xlfn.XLOOKUP(Baukon_alle_A4_join[[#This Row],[Transport.Transport-Modus]],LeitRess_Materialien[Name],LeitRess_Materialien[WDP '[m³ weighted water/kg']])*Baukon_alle_A4_join[[#This Row],[Transportdistanz.Voreinstellung]]*Baukon_alle_A4_join[[#This Row],[Masse '[kg/m²'] Referenz]]</f>
        <v>3.6450671438656634E-3</v>
      </c>
      <c r="AA38" s="132">
        <f>_xlfn.XLOOKUP(Baukon_alle_A4_join[[#This Row],[Transport.Transport-Modus]],LeitRess_Materialien[Name],LeitRess_Materialien[WDP '[m³ weighted water/kg']])*Baukon_alle_A4_join[[#This Row],[Transportdistanz.Voreinstellung]]*Baukon_alle_A4_join[[#This Row],[Masse '[kg/m²'] min]]</f>
        <v>2.4300447625771092E-3</v>
      </c>
      <c r="AB38" s="132">
        <f>_xlfn.XLOOKUP(Baukon_alle_A4_join[[#This Row],[Transport.Transport-Modus]],LeitRess_Materialien[Name],LeitRess_Materialien[WDP '[m³ weighted water/kg']])*Baukon_alle_A4_join[[#This Row],[Transportdistanz.Voreinstellung]]*Baukon_alle_A4_join[[#This Row],[Masse '[kg/m²'] max]]</f>
        <v>6.0751119064427726E-3</v>
      </c>
      <c r="AC38"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8.925042239007634E-6</v>
      </c>
      <c r="AD38"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5.9500281593384235E-6</v>
      </c>
      <c r="AE38"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1.487507039834606E-5</v>
      </c>
    </row>
    <row r="39" spans="1:31" x14ac:dyDescent="0.45">
      <c r="A39" t="s">
        <v>87</v>
      </c>
      <c r="B39" t="s">
        <v>316</v>
      </c>
      <c r="C39" t="s">
        <v>312</v>
      </c>
      <c r="D39" t="s">
        <v>101</v>
      </c>
      <c r="E39" t="s">
        <v>331</v>
      </c>
      <c r="F39" t="s">
        <v>227</v>
      </c>
      <c r="G39">
        <v>5.55</v>
      </c>
      <c r="H39">
        <v>3.7</v>
      </c>
      <c r="I39">
        <v>9.25</v>
      </c>
      <c r="K39" t="s">
        <v>17</v>
      </c>
      <c r="L39" t="s">
        <v>305</v>
      </c>
      <c r="M39" t="s">
        <v>253</v>
      </c>
      <c r="N39" s="132">
        <f>_xlfn.XLOOKUP(Baukon_alle_A4_join[[#This Row],[Transport.Transport-Modus]],LeitRess_Materialien[Name],LeitRess_Materialien[RMI '[kg Primärrohstoffe / kg']])*Baukon_alle_A4_join[[#This Row],[Transportdistanz.Voreinstellung]]*Baukon_alle_A4_join[[#This Row],[Masse '[kg/m²'] Referenz]]</f>
        <v>4.8420497985439313E-2</v>
      </c>
      <c r="O39" s="132">
        <f>_xlfn.XLOOKUP(Baukon_alle_A4_join[[#This Row],[Transport.Transport-Modus]],LeitRess_Materialien[Name],LeitRess_Materialien[RMI '[kg Primärrohstoffe / kg']])*Baukon_alle_A4_join[[#This Row],[Transportdistanz.Voreinstellung]]*Baukon_alle_A4_join[[#This Row],[Masse '[kg/m²'] min]]</f>
        <v>3.2280331990292878E-2</v>
      </c>
      <c r="P39" s="132">
        <f>_xlfn.XLOOKUP(Baukon_alle_A4_join[[#This Row],[Transport.Transport-Modus]],LeitRess_Materialien[Name],LeitRess_Materialien[RMI '[kg Primärrohstoffe / kg']])*Baukon_alle_A4_join[[#This Row],[Transportdistanz.Voreinstellung]]*Baukon_alle_A4_join[[#This Row],[Masse '[kg/m²'] max]]</f>
        <v>8.0700829975732191E-2</v>
      </c>
      <c r="Q39" s="132">
        <f>_xlfn.XLOOKUP(Baukon_alle_A4_join[[#This Row],[Transport.Transport-Modus]],LeitRess_Materialien[Name],LeitRess_Materialien[TMR '[kg Gesamtmaterialaufwand/kg']])*Baukon_alle_A4_join[[#This Row],[Transportdistanz.Voreinstellung]]*Baukon_alle_A4_join[[#This Row],[Masse '[kg/m²'] Referenz]]</f>
        <v>5.7709820433986043E-2</v>
      </c>
      <c r="R39" s="132">
        <f>_xlfn.XLOOKUP(Baukon_alle_A4_join[[#This Row],[Transport.Transport-Modus]],LeitRess_Materialien[Name],LeitRess_Materialien[TMR '[kg Gesamtmaterialaufwand/kg']])*Baukon_alle_A4_join[[#This Row],[Transportdistanz.Voreinstellung]]*Baukon_alle_A4_join[[#This Row],[Masse '[kg/m²'] min]]</f>
        <v>3.8473213622657369E-2</v>
      </c>
      <c r="S39" s="132">
        <f>_xlfn.XLOOKUP(Baukon_alle_A4_join[[#This Row],[Transport.Transport-Modus]],LeitRess_Materialien[Name],LeitRess_Materialien[TMR '[kg Gesamtmaterialaufwand/kg']])*Baukon_alle_A4_join[[#This Row],[Transportdistanz.Voreinstellung]]*Baukon_alle_A4_join[[#This Row],[Masse '[kg/m²'] max]]</f>
        <v>9.6183034056643413E-2</v>
      </c>
      <c r="T39" s="132">
        <f>_xlfn.XLOOKUP(Baukon_alle_A4_join[[#This Row],[Transport.Transport-Modus]],LeitRess_Materialien[Name],LeitRess_Materialien[GWP '[kg CO2-Äqu./kg']])*Baukon_alle_A4_join[[#This Row],[Transportdistanz.Voreinstellung]]*Baukon_alle_A4_join[[#This Row],[Masse '[kg/m²'] Referenz]]</f>
        <v>5.3719026653648284E-2</v>
      </c>
      <c r="U39" s="132">
        <f>_xlfn.XLOOKUP(Baukon_alle_A4_join[[#This Row],[Transport.Transport-Modus]],LeitRess_Materialien[Name],LeitRess_Materialien[GWP '[kg CO2-Äqu./kg']])*Baukon_alle_A4_join[[#This Row],[Transportdistanz.Voreinstellung]]*Baukon_alle_A4_join[[#This Row],[Masse '[kg/m²'] min]]</f>
        <v>3.5812684435765525E-2</v>
      </c>
      <c r="V39" s="132">
        <f>_xlfn.XLOOKUP(Baukon_alle_A4_join[[#This Row],[Transport.Transport-Modus]],LeitRess_Materialien[Name],LeitRess_Materialien[GWP '[kg CO2-Äqu./kg']])*Baukon_alle_A4_join[[#This Row],[Transportdistanz.Voreinstellung]]*Baukon_alle_A4_join[[#This Row],[Masse '[kg/m²'] max]]</f>
        <v>8.953171108941381E-2</v>
      </c>
      <c r="W39" s="132">
        <f>_xlfn.XLOOKUP(Baukon_alle_A4_join[[#This Row],[Transport.Transport-Modus]],LeitRess_Materialien[Name],LeitRess_Materialien[PENRT '[MJ/kg']])*Baukon_alle_A4_join[[#This Row],[Transportdistanz.Voreinstellung]]*Baukon_alle_A4_join[[#This Row],[Masse '[kg/m²'] Referenz]]</f>
        <v>0.33516586196999998</v>
      </c>
      <c r="X39" s="132">
        <f>_xlfn.XLOOKUP(Baukon_alle_A4_join[[#This Row],[Transport.Transport-Modus]],LeitRess_Materialien[Name],LeitRess_Materialien[PENRT '[MJ/kg']])*Baukon_alle_A4_join[[#This Row],[Transportdistanz.Voreinstellung]]*Baukon_alle_A4_join[[#This Row],[Masse '[kg/m²'] min]]</f>
        <v>0.22344390797999999</v>
      </c>
      <c r="Y39" s="132">
        <f>_xlfn.XLOOKUP(Baukon_alle_A4_join[[#This Row],[Transport.Transport-Modus]],LeitRess_Materialien[Name],LeitRess_Materialien[PENRT '[MJ/kg']])*Baukon_alle_A4_join[[#This Row],[Transportdistanz.Voreinstellung]]*Baukon_alle_A4_join[[#This Row],[Masse '[kg/m²'] max]]</f>
        <v>0.55860976994999989</v>
      </c>
      <c r="Z39" s="132">
        <f>_xlfn.XLOOKUP(Baukon_alle_A4_join[[#This Row],[Transport.Transport-Modus]],LeitRess_Materialien[Name],LeitRess_Materialien[WDP '[m³ weighted water/kg']])*Baukon_alle_A4_join[[#This Row],[Transportdistanz.Voreinstellung]]*Baukon_alle_A4_join[[#This Row],[Masse '[kg/m²'] Referenz]]</f>
        <v>3.6450671438656634E-3</v>
      </c>
      <c r="AA39" s="132">
        <f>_xlfn.XLOOKUP(Baukon_alle_A4_join[[#This Row],[Transport.Transport-Modus]],LeitRess_Materialien[Name],LeitRess_Materialien[WDP '[m³ weighted water/kg']])*Baukon_alle_A4_join[[#This Row],[Transportdistanz.Voreinstellung]]*Baukon_alle_A4_join[[#This Row],[Masse '[kg/m²'] min]]</f>
        <v>2.4300447625771092E-3</v>
      </c>
      <c r="AB39" s="132">
        <f>_xlfn.XLOOKUP(Baukon_alle_A4_join[[#This Row],[Transport.Transport-Modus]],LeitRess_Materialien[Name],LeitRess_Materialien[WDP '[m³ weighted water/kg']])*Baukon_alle_A4_join[[#This Row],[Transportdistanz.Voreinstellung]]*Baukon_alle_A4_join[[#This Row],[Masse '[kg/m²'] max]]</f>
        <v>6.0751119064427726E-3</v>
      </c>
      <c r="AC39"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8.925042239007634E-6</v>
      </c>
      <c r="AD39"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5.9500281593384235E-6</v>
      </c>
      <c r="AE39"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1.487507039834606E-5</v>
      </c>
    </row>
    <row r="40" spans="1:31" x14ac:dyDescent="0.45">
      <c r="A40" t="s">
        <v>87</v>
      </c>
      <c r="B40" t="s">
        <v>325</v>
      </c>
      <c r="C40" t="s">
        <v>312</v>
      </c>
      <c r="D40" t="s">
        <v>102</v>
      </c>
      <c r="E40" t="s">
        <v>331</v>
      </c>
      <c r="F40" t="s">
        <v>227</v>
      </c>
      <c r="G40">
        <v>4.7699999999999996</v>
      </c>
      <c r="H40">
        <v>3.18</v>
      </c>
      <c r="I40">
        <v>7.96</v>
      </c>
      <c r="K40" t="s">
        <v>17</v>
      </c>
      <c r="L40" t="s">
        <v>305</v>
      </c>
      <c r="M40" t="s">
        <v>253</v>
      </c>
      <c r="N40" s="132">
        <f>_xlfn.XLOOKUP(Baukon_alle_A4_join[[#This Row],[Transport.Transport-Modus]],LeitRess_Materialien[Name],LeitRess_Materialien[RMI '[kg Primärrohstoffe / kg']])*Baukon_alle_A4_join[[#This Row],[Transportdistanz.Voreinstellung]]*Baukon_alle_A4_join[[#This Row],[Masse '[kg/m²'] Referenz]]</f>
        <v>4.1615455025323517E-2</v>
      </c>
      <c r="O40" s="132">
        <f>_xlfn.XLOOKUP(Baukon_alle_A4_join[[#This Row],[Transport.Transport-Modus]],LeitRess_Materialien[Name],LeitRess_Materialien[RMI '[kg Primärrohstoffe / kg']])*Baukon_alle_A4_join[[#This Row],[Transportdistanz.Voreinstellung]]*Baukon_alle_A4_join[[#This Row],[Masse '[kg/m²'] min]]</f>
        <v>2.7743636683549015E-2</v>
      </c>
      <c r="P40" s="132">
        <f>_xlfn.XLOOKUP(Baukon_alle_A4_join[[#This Row],[Transport.Transport-Modus]],LeitRess_Materialien[Name],LeitRess_Materialien[RMI '[kg Primärrohstoffe / kg']])*Baukon_alle_A4_join[[#This Row],[Transportdistanz.Voreinstellung]]*Baukon_alle_A4_join[[#This Row],[Masse '[kg/m²'] max]]</f>
        <v>6.9446335849386837E-2</v>
      </c>
      <c r="Q40" s="132">
        <f>_xlfn.XLOOKUP(Baukon_alle_A4_join[[#This Row],[Transport.Transport-Modus]],LeitRess_Materialien[Name],LeitRess_Materialien[TMR '[kg Gesamtmaterialaufwand/kg']])*Baukon_alle_A4_join[[#This Row],[Transportdistanz.Voreinstellung]]*Baukon_alle_A4_join[[#This Row],[Masse '[kg/m²'] Referenz]]</f>
        <v>4.9599251075696113E-2</v>
      </c>
      <c r="R40" s="132">
        <f>_xlfn.XLOOKUP(Baukon_alle_A4_join[[#This Row],[Transport.Transport-Modus]],LeitRess_Materialien[Name],LeitRess_Materialien[TMR '[kg Gesamtmaterialaufwand/kg']])*Baukon_alle_A4_join[[#This Row],[Transportdistanz.Voreinstellung]]*Baukon_alle_A4_join[[#This Row],[Masse '[kg/m²'] min]]</f>
        <v>3.3066167383797411E-2</v>
      </c>
      <c r="S40" s="132">
        <f>_xlfn.XLOOKUP(Baukon_alle_A4_join[[#This Row],[Transport.Transport-Modus]],LeitRess_Materialien[Name],LeitRess_Materialien[TMR '[kg Gesamtmaterialaufwand/kg']])*Baukon_alle_A4_join[[#This Row],[Transportdistanz.Voreinstellung]]*Baukon_alle_A4_join[[#This Row],[Masse '[kg/m²'] max]]</f>
        <v>8.2769400117933142E-2</v>
      </c>
      <c r="T40" s="132">
        <f>_xlfn.XLOOKUP(Baukon_alle_A4_join[[#This Row],[Transport.Transport-Modus]],LeitRess_Materialien[Name],LeitRess_Materialien[GWP '[kg CO2-Äqu./kg']])*Baukon_alle_A4_join[[#This Row],[Transportdistanz.Voreinstellung]]*Baukon_alle_A4_join[[#This Row],[Masse '[kg/m²'] Referenz]]</f>
        <v>4.6169325610432847E-2</v>
      </c>
      <c r="U40" s="132">
        <f>_xlfn.XLOOKUP(Baukon_alle_A4_join[[#This Row],[Transport.Transport-Modus]],LeitRess_Materialien[Name],LeitRess_Materialien[GWP '[kg CO2-Äqu./kg']])*Baukon_alle_A4_join[[#This Row],[Transportdistanz.Voreinstellung]]*Baukon_alle_A4_join[[#This Row],[Masse '[kg/m²'] min]]</f>
        <v>3.0779550406955236E-2</v>
      </c>
      <c r="V40" s="132">
        <f>_xlfn.XLOOKUP(Baukon_alle_A4_join[[#This Row],[Transport.Transport-Modus]],LeitRess_Materialien[Name],LeitRess_Materialien[GWP '[kg CO2-Äqu./kg']])*Baukon_alle_A4_join[[#This Row],[Transportdistanz.Voreinstellung]]*Baukon_alle_A4_join[[#This Row],[Masse '[kg/m²'] max]]</f>
        <v>7.7045667056403672E-2</v>
      </c>
      <c r="W40" s="132">
        <f>_xlfn.XLOOKUP(Baukon_alle_A4_join[[#This Row],[Transport.Transport-Modus]],LeitRess_Materialien[Name],LeitRess_Materialien[PENRT '[MJ/kg']])*Baukon_alle_A4_join[[#This Row],[Transportdistanz.Voreinstellung]]*Baukon_alle_A4_join[[#This Row],[Masse '[kg/m²'] Referenz]]</f>
        <v>0.28806147055799997</v>
      </c>
      <c r="X40" s="132">
        <f>_xlfn.XLOOKUP(Baukon_alle_A4_join[[#This Row],[Transport.Transport-Modus]],LeitRess_Materialien[Name],LeitRess_Materialien[PENRT '[MJ/kg']])*Baukon_alle_A4_join[[#This Row],[Transportdistanz.Voreinstellung]]*Baukon_alle_A4_join[[#This Row],[Masse '[kg/m²'] min]]</f>
        <v>0.19204098037199999</v>
      </c>
      <c r="Y40" s="132">
        <f>_xlfn.XLOOKUP(Baukon_alle_A4_join[[#This Row],[Transport.Transport-Modus]],LeitRess_Materialien[Name],LeitRess_Materialien[PENRT '[MJ/kg']])*Baukon_alle_A4_join[[#This Row],[Transportdistanz.Voreinstellung]]*Baukon_alle_A4_join[[#This Row],[Masse '[kg/m²'] max]]</f>
        <v>0.48070635338399997</v>
      </c>
      <c r="Z40" s="132">
        <f>_xlfn.XLOOKUP(Baukon_alle_A4_join[[#This Row],[Transport.Transport-Modus]],LeitRess_Materialien[Name],LeitRess_Materialien[WDP '[m³ weighted water/kg']])*Baukon_alle_A4_join[[#This Row],[Transportdistanz.Voreinstellung]]*Baukon_alle_A4_join[[#This Row],[Masse '[kg/m²'] Referenz]]</f>
        <v>3.1327874371602183E-3</v>
      </c>
      <c r="AA40" s="132">
        <f>_xlfn.XLOOKUP(Baukon_alle_A4_join[[#This Row],[Transport.Transport-Modus]],LeitRess_Materialien[Name],LeitRess_Materialien[WDP '[m³ weighted water/kg']])*Baukon_alle_A4_join[[#This Row],[Transportdistanz.Voreinstellung]]*Baukon_alle_A4_join[[#This Row],[Masse '[kg/m²'] min]]</f>
        <v>2.0885249581068127E-3</v>
      </c>
      <c r="AB40" s="132">
        <f>_xlfn.XLOOKUP(Baukon_alle_A4_join[[#This Row],[Transport.Transport-Modus]],LeitRess_Materialien[Name],LeitRess_Materialien[WDP '[m³ weighted water/kg']])*Baukon_alle_A4_join[[#This Row],[Transportdistanz.Voreinstellung]]*Baukon_alle_A4_join[[#This Row],[Masse '[kg/m²'] max]]</f>
        <v>5.2278800838145368E-3</v>
      </c>
      <c r="AC40"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7.6707119783903451E-6</v>
      </c>
      <c r="AD40"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5.113807985593564E-6</v>
      </c>
      <c r="AE40"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1.2800601121171311E-5</v>
      </c>
    </row>
    <row r="41" spans="1:31" x14ac:dyDescent="0.45">
      <c r="A41" t="s">
        <v>110</v>
      </c>
      <c r="B41" t="s">
        <v>318</v>
      </c>
      <c r="C41" t="s">
        <v>312</v>
      </c>
      <c r="D41" t="s">
        <v>116</v>
      </c>
      <c r="E41" t="s">
        <v>332</v>
      </c>
      <c r="F41" t="s">
        <v>227</v>
      </c>
      <c r="G41">
        <v>1.85</v>
      </c>
      <c r="H41">
        <v>0</v>
      </c>
      <c r="I41">
        <v>5.55</v>
      </c>
      <c r="K41" t="s">
        <v>17</v>
      </c>
      <c r="L41" t="s">
        <v>305</v>
      </c>
      <c r="M41" t="s">
        <v>253</v>
      </c>
      <c r="N41" s="132">
        <f>_xlfn.XLOOKUP(Baukon_alle_A4_join[[#This Row],[Transport.Transport-Modus]],LeitRess_Materialien[Name],LeitRess_Materialien[RMI '[kg Primärrohstoffe / kg']])*Baukon_alle_A4_join[[#This Row],[Transportdistanz.Voreinstellung]]*Baukon_alle_A4_join[[#This Row],[Masse '[kg/m²'] Referenz]]</f>
        <v>1.6140165995146439E-2</v>
      </c>
      <c r="O41" s="132">
        <f>_xlfn.XLOOKUP(Baukon_alle_A4_join[[#This Row],[Transport.Transport-Modus]],LeitRess_Materialien[Name],LeitRess_Materialien[RMI '[kg Primärrohstoffe / kg']])*Baukon_alle_A4_join[[#This Row],[Transportdistanz.Voreinstellung]]*Baukon_alle_A4_join[[#This Row],[Masse '[kg/m²'] min]]</f>
        <v>0</v>
      </c>
      <c r="P41" s="132">
        <f>_xlfn.XLOOKUP(Baukon_alle_A4_join[[#This Row],[Transport.Transport-Modus]],LeitRess_Materialien[Name],LeitRess_Materialien[RMI '[kg Primärrohstoffe / kg']])*Baukon_alle_A4_join[[#This Row],[Transportdistanz.Voreinstellung]]*Baukon_alle_A4_join[[#This Row],[Masse '[kg/m²'] max]]</f>
        <v>4.8420497985439313E-2</v>
      </c>
      <c r="Q41" s="132">
        <f>_xlfn.XLOOKUP(Baukon_alle_A4_join[[#This Row],[Transport.Transport-Modus]],LeitRess_Materialien[Name],LeitRess_Materialien[TMR '[kg Gesamtmaterialaufwand/kg']])*Baukon_alle_A4_join[[#This Row],[Transportdistanz.Voreinstellung]]*Baukon_alle_A4_join[[#This Row],[Masse '[kg/m²'] Referenz]]</f>
        <v>1.9236606811328685E-2</v>
      </c>
      <c r="R41" s="132">
        <f>_xlfn.XLOOKUP(Baukon_alle_A4_join[[#This Row],[Transport.Transport-Modus]],LeitRess_Materialien[Name],LeitRess_Materialien[TMR '[kg Gesamtmaterialaufwand/kg']])*Baukon_alle_A4_join[[#This Row],[Transportdistanz.Voreinstellung]]*Baukon_alle_A4_join[[#This Row],[Masse '[kg/m²'] min]]</f>
        <v>0</v>
      </c>
      <c r="S41" s="132">
        <f>_xlfn.XLOOKUP(Baukon_alle_A4_join[[#This Row],[Transport.Transport-Modus]],LeitRess_Materialien[Name],LeitRess_Materialien[TMR '[kg Gesamtmaterialaufwand/kg']])*Baukon_alle_A4_join[[#This Row],[Transportdistanz.Voreinstellung]]*Baukon_alle_A4_join[[#This Row],[Masse '[kg/m²'] max]]</f>
        <v>5.7709820433986043E-2</v>
      </c>
      <c r="T41" s="132">
        <f>_xlfn.XLOOKUP(Baukon_alle_A4_join[[#This Row],[Transport.Transport-Modus]],LeitRess_Materialien[Name],LeitRess_Materialien[GWP '[kg CO2-Äqu./kg']])*Baukon_alle_A4_join[[#This Row],[Transportdistanz.Voreinstellung]]*Baukon_alle_A4_join[[#This Row],[Masse '[kg/m²'] Referenz]]</f>
        <v>1.7906342217882763E-2</v>
      </c>
      <c r="U41" s="132">
        <f>_xlfn.XLOOKUP(Baukon_alle_A4_join[[#This Row],[Transport.Transport-Modus]],LeitRess_Materialien[Name],LeitRess_Materialien[GWP '[kg CO2-Äqu./kg']])*Baukon_alle_A4_join[[#This Row],[Transportdistanz.Voreinstellung]]*Baukon_alle_A4_join[[#This Row],[Masse '[kg/m²'] min]]</f>
        <v>0</v>
      </c>
      <c r="V41" s="132">
        <f>_xlfn.XLOOKUP(Baukon_alle_A4_join[[#This Row],[Transport.Transport-Modus]],LeitRess_Materialien[Name],LeitRess_Materialien[GWP '[kg CO2-Äqu./kg']])*Baukon_alle_A4_join[[#This Row],[Transportdistanz.Voreinstellung]]*Baukon_alle_A4_join[[#This Row],[Masse '[kg/m²'] max]]</f>
        <v>5.3719026653648284E-2</v>
      </c>
      <c r="W41" s="132">
        <f>_xlfn.XLOOKUP(Baukon_alle_A4_join[[#This Row],[Transport.Transport-Modus]],LeitRess_Materialien[Name],LeitRess_Materialien[PENRT '[MJ/kg']])*Baukon_alle_A4_join[[#This Row],[Transportdistanz.Voreinstellung]]*Baukon_alle_A4_join[[#This Row],[Masse '[kg/m²'] Referenz]]</f>
        <v>0.11172195399</v>
      </c>
      <c r="X41" s="132">
        <f>_xlfn.XLOOKUP(Baukon_alle_A4_join[[#This Row],[Transport.Transport-Modus]],LeitRess_Materialien[Name],LeitRess_Materialien[PENRT '[MJ/kg']])*Baukon_alle_A4_join[[#This Row],[Transportdistanz.Voreinstellung]]*Baukon_alle_A4_join[[#This Row],[Masse '[kg/m²'] min]]</f>
        <v>0</v>
      </c>
      <c r="Y41" s="132">
        <f>_xlfn.XLOOKUP(Baukon_alle_A4_join[[#This Row],[Transport.Transport-Modus]],LeitRess_Materialien[Name],LeitRess_Materialien[PENRT '[MJ/kg']])*Baukon_alle_A4_join[[#This Row],[Transportdistanz.Voreinstellung]]*Baukon_alle_A4_join[[#This Row],[Masse '[kg/m²'] max]]</f>
        <v>0.33516586196999998</v>
      </c>
      <c r="Z41" s="132">
        <f>_xlfn.XLOOKUP(Baukon_alle_A4_join[[#This Row],[Transport.Transport-Modus]],LeitRess_Materialien[Name],LeitRess_Materialien[WDP '[m³ weighted water/kg']])*Baukon_alle_A4_join[[#This Row],[Transportdistanz.Voreinstellung]]*Baukon_alle_A4_join[[#This Row],[Masse '[kg/m²'] Referenz]]</f>
        <v>1.2150223812885546E-3</v>
      </c>
      <c r="AA41" s="132">
        <f>_xlfn.XLOOKUP(Baukon_alle_A4_join[[#This Row],[Transport.Transport-Modus]],LeitRess_Materialien[Name],LeitRess_Materialien[WDP '[m³ weighted water/kg']])*Baukon_alle_A4_join[[#This Row],[Transportdistanz.Voreinstellung]]*Baukon_alle_A4_join[[#This Row],[Masse '[kg/m²'] min]]</f>
        <v>0</v>
      </c>
      <c r="AB41" s="132">
        <f>_xlfn.XLOOKUP(Baukon_alle_A4_join[[#This Row],[Transport.Transport-Modus]],LeitRess_Materialien[Name],LeitRess_Materialien[WDP '[m³ weighted water/kg']])*Baukon_alle_A4_join[[#This Row],[Transportdistanz.Voreinstellung]]*Baukon_alle_A4_join[[#This Row],[Masse '[kg/m²'] max]]</f>
        <v>3.6450671438656634E-3</v>
      </c>
      <c r="AC41"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2.9750140796692118E-6</v>
      </c>
      <c r="AD41"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0</v>
      </c>
      <c r="AE41"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8.925042239007634E-6</v>
      </c>
    </row>
    <row r="42" spans="1:31" x14ac:dyDescent="0.45">
      <c r="A42" t="s">
        <v>87</v>
      </c>
      <c r="B42" t="s">
        <v>308</v>
      </c>
      <c r="C42" t="s">
        <v>313</v>
      </c>
      <c r="D42" t="s">
        <v>93</v>
      </c>
      <c r="E42" t="s">
        <v>333</v>
      </c>
      <c r="F42" t="s">
        <v>271</v>
      </c>
      <c r="G42">
        <v>6.65</v>
      </c>
      <c r="H42">
        <v>5.13</v>
      </c>
      <c r="I42">
        <v>9.69</v>
      </c>
      <c r="K42" t="s">
        <v>17</v>
      </c>
      <c r="L42" t="s">
        <v>305</v>
      </c>
      <c r="M42" t="s">
        <v>253</v>
      </c>
      <c r="N42" s="132">
        <f>_xlfn.XLOOKUP(Baukon_alle_A4_join[[#This Row],[Transport.Transport-Modus]],LeitRess_Materialien[Name],LeitRess_Materialien[RMI '[kg Primärrohstoffe / kg']])*Baukon_alle_A4_join[[#This Row],[Transportdistanz.Voreinstellung]]*Baukon_alle_A4_join[[#This Row],[Masse '[kg/m²'] Referenz]]</f>
        <v>5.8017353442012878E-2</v>
      </c>
      <c r="O42" s="132">
        <f>_xlfn.XLOOKUP(Baukon_alle_A4_join[[#This Row],[Transport.Transport-Modus]],LeitRess_Materialien[Name],LeitRess_Materialien[RMI '[kg Primärrohstoffe / kg']])*Baukon_alle_A4_join[[#This Row],[Transportdistanz.Voreinstellung]]*Baukon_alle_A4_join[[#This Row],[Masse '[kg/m²'] min]]</f>
        <v>4.4756244083838499E-2</v>
      </c>
      <c r="P42" s="132">
        <f>_xlfn.XLOOKUP(Baukon_alle_A4_join[[#This Row],[Transport.Transport-Modus]],LeitRess_Materialien[Name],LeitRess_Materialien[RMI '[kg Primärrohstoffe / kg']])*Baukon_alle_A4_join[[#This Row],[Transportdistanz.Voreinstellung]]*Baukon_alle_A4_join[[#This Row],[Masse '[kg/m²'] max]]</f>
        <v>8.4539572158361609E-2</v>
      </c>
      <c r="Q42" s="132">
        <f>_xlfn.XLOOKUP(Baukon_alle_A4_join[[#This Row],[Transport.Transport-Modus]],LeitRess_Materialien[Name],LeitRess_Materialien[TMR '[kg Gesamtmaterialaufwand/kg']])*Baukon_alle_A4_join[[#This Row],[Transportdistanz.Voreinstellung]]*Baukon_alle_A4_join[[#This Row],[Masse '[kg/m²'] Referenz]]</f>
        <v>6.9147802862343649E-2</v>
      </c>
      <c r="R42" s="132">
        <f>_xlfn.XLOOKUP(Baukon_alle_A4_join[[#This Row],[Transport.Transport-Modus]],LeitRess_Materialien[Name],LeitRess_Materialien[TMR '[kg Gesamtmaterialaufwand/kg']])*Baukon_alle_A4_join[[#This Row],[Transportdistanz.Voreinstellung]]*Baukon_alle_A4_join[[#This Row],[Masse '[kg/m²'] min]]</f>
        <v>5.3342590779522241E-2</v>
      </c>
      <c r="S42" s="132">
        <f>_xlfn.XLOOKUP(Baukon_alle_A4_join[[#This Row],[Transport.Transport-Modus]],LeitRess_Materialien[Name],LeitRess_Materialien[TMR '[kg Gesamtmaterialaufwand/kg']])*Baukon_alle_A4_join[[#This Row],[Transportdistanz.Voreinstellung]]*Baukon_alle_A4_join[[#This Row],[Masse '[kg/m²'] max]]</f>
        <v>0.10075822702798645</v>
      </c>
      <c r="T42" s="132">
        <f>_xlfn.XLOOKUP(Baukon_alle_A4_join[[#This Row],[Transport.Transport-Modus]],LeitRess_Materialien[Name],LeitRess_Materialien[GWP '[kg CO2-Äqu./kg']])*Baukon_alle_A4_join[[#This Row],[Transportdistanz.Voreinstellung]]*Baukon_alle_A4_join[[#This Row],[Masse '[kg/m²'] Referenz]]</f>
        <v>6.4366040945362357E-2</v>
      </c>
      <c r="U42" s="132">
        <f>_xlfn.XLOOKUP(Baukon_alle_A4_join[[#This Row],[Transport.Transport-Modus]],LeitRess_Materialien[Name],LeitRess_Materialien[GWP '[kg CO2-Äqu./kg']])*Baukon_alle_A4_join[[#This Row],[Transportdistanz.Voreinstellung]]*Baukon_alle_A4_join[[#This Row],[Masse '[kg/m²'] min]]</f>
        <v>4.9653803014993822E-2</v>
      </c>
      <c r="V42" s="132">
        <f>_xlfn.XLOOKUP(Baukon_alle_A4_join[[#This Row],[Transport.Transport-Modus]],LeitRess_Materialien[Name],LeitRess_Materialien[GWP '[kg CO2-Äqu./kg']])*Baukon_alle_A4_join[[#This Row],[Transportdistanz.Voreinstellung]]*Baukon_alle_A4_join[[#This Row],[Masse '[kg/m²'] max]]</f>
        <v>9.3790516806099428E-2</v>
      </c>
      <c r="W42" s="132">
        <f>_xlfn.XLOOKUP(Baukon_alle_A4_join[[#This Row],[Transport.Transport-Modus]],LeitRess_Materialien[Name],LeitRess_Materialien[PENRT '[MJ/kg']])*Baukon_alle_A4_join[[#This Row],[Transportdistanz.Voreinstellung]]*Baukon_alle_A4_join[[#This Row],[Masse '[kg/m²'] Referenz]]</f>
        <v>0.40159513190999996</v>
      </c>
      <c r="X42" s="132">
        <f>_xlfn.XLOOKUP(Baukon_alle_A4_join[[#This Row],[Transport.Transport-Modus]],LeitRess_Materialien[Name],LeitRess_Materialien[PENRT '[MJ/kg']])*Baukon_alle_A4_join[[#This Row],[Transportdistanz.Voreinstellung]]*Baukon_alle_A4_join[[#This Row],[Masse '[kg/m²'] min]]</f>
        <v>0.30980195890199996</v>
      </c>
      <c r="Y42" s="132">
        <f>_xlfn.XLOOKUP(Baukon_alle_A4_join[[#This Row],[Transport.Transport-Modus]],LeitRess_Materialien[Name],LeitRess_Materialien[PENRT '[MJ/kg']])*Baukon_alle_A4_join[[#This Row],[Transportdistanz.Voreinstellung]]*Baukon_alle_A4_join[[#This Row],[Masse '[kg/m²'] max]]</f>
        <v>0.58518147792599995</v>
      </c>
      <c r="Z42" s="132">
        <f>_xlfn.XLOOKUP(Baukon_alle_A4_join[[#This Row],[Transport.Transport-Modus]],LeitRess_Materialien[Name],LeitRess_Materialien[WDP '[m³ weighted water/kg']])*Baukon_alle_A4_join[[#This Row],[Transportdistanz.Voreinstellung]]*Baukon_alle_A4_join[[#This Row],[Masse '[kg/m²'] Referenz]]</f>
        <v>4.3675128840912902E-3</v>
      </c>
      <c r="AA42" s="132">
        <f>_xlfn.XLOOKUP(Baukon_alle_A4_join[[#This Row],[Transport.Transport-Modus]],LeitRess_Materialien[Name],LeitRess_Materialien[WDP '[m³ weighted water/kg']])*Baukon_alle_A4_join[[#This Row],[Transportdistanz.Voreinstellung]]*Baukon_alle_A4_join[[#This Row],[Masse '[kg/m²'] min]]</f>
        <v>3.369224224870424E-3</v>
      </c>
      <c r="AB42" s="132">
        <f>_xlfn.XLOOKUP(Baukon_alle_A4_join[[#This Row],[Transport.Transport-Modus]],LeitRess_Materialien[Name],LeitRess_Materialien[WDP '[m³ weighted water/kg']])*Baukon_alle_A4_join[[#This Row],[Transportdistanz.Voreinstellung]]*Baukon_alle_A4_join[[#This Row],[Masse '[kg/m²'] max]]</f>
        <v>6.3640902025330227E-3</v>
      </c>
      <c r="AC42"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1.0693969529621761E-5</v>
      </c>
      <c r="AD42"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8.2496336371367854E-6</v>
      </c>
      <c r="AE42"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1.5582641314591707E-5</v>
      </c>
    </row>
    <row r="43" spans="1:31" x14ac:dyDescent="0.45">
      <c r="A43" t="s">
        <v>87</v>
      </c>
      <c r="B43" t="s">
        <v>325</v>
      </c>
      <c r="C43" t="s">
        <v>312</v>
      </c>
      <c r="D43" t="s">
        <v>102</v>
      </c>
      <c r="E43" t="s">
        <v>334</v>
      </c>
      <c r="F43" t="s">
        <v>272</v>
      </c>
      <c r="G43">
        <v>2.71</v>
      </c>
      <c r="H43">
        <v>2.71</v>
      </c>
      <c r="I43">
        <v>2.71</v>
      </c>
      <c r="K43" t="s">
        <v>17</v>
      </c>
      <c r="L43" t="s">
        <v>305</v>
      </c>
      <c r="M43" t="s">
        <v>253</v>
      </c>
      <c r="N43" s="132">
        <f>_xlfn.XLOOKUP(Baukon_alle_A4_join[[#This Row],[Transport.Transport-Modus]],LeitRess_Materialien[Name],LeitRess_Materialien[RMI '[kg Primärrohstoffe / kg']])*Baukon_alle_A4_join[[#This Row],[Transportdistanz.Voreinstellung]]*Baukon_alle_A4_join[[#This Row],[Masse '[kg/m²'] Referenz]]</f>
        <v>2.3643162079376674E-2</v>
      </c>
      <c r="O43" s="132">
        <f>_xlfn.XLOOKUP(Baukon_alle_A4_join[[#This Row],[Transport.Transport-Modus]],LeitRess_Materialien[Name],LeitRess_Materialien[RMI '[kg Primärrohstoffe / kg']])*Baukon_alle_A4_join[[#This Row],[Transportdistanz.Voreinstellung]]*Baukon_alle_A4_join[[#This Row],[Masse '[kg/m²'] min]]</f>
        <v>2.3643162079376674E-2</v>
      </c>
      <c r="P43" s="132">
        <f>_xlfn.XLOOKUP(Baukon_alle_A4_join[[#This Row],[Transport.Transport-Modus]],LeitRess_Materialien[Name],LeitRess_Materialien[RMI '[kg Primärrohstoffe / kg']])*Baukon_alle_A4_join[[#This Row],[Transportdistanz.Voreinstellung]]*Baukon_alle_A4_join[[#This Row],[Masse '[kg/m²'] max]]</f>
        <v>2.3643162079376674E-2</v>
      </c>
      <c r="Q43" s="132">
        <f>_xlfn.XLOOKUP(Baukon_alle_A4_join[[#This Row],[Transport.Transport-Modus]],LeitRess_Materialien[Name],LeitRess_Materialien[TMR '[kg Gesamtmaterialaufwand/kg']])*Baukon_alle_A4_join[[#This Row],[Transportdistanz.Voreinstellung]]*Baukon_alle_A4_join[[#This Row],[Masse '[kg/m²'] Referenz]]</f>
        <v>2.817902943713553E-2</v>
      </c>
      <c r="R43" s="132">
        <f>_xlfn.XLOOKUP(Baukon_alle_A4_join[[#This Row],[Transport.Transport-Modus]],LeitRess_Materialien[Name],LeitRess_Materialien[TMR '[kg Gesamtmaterialaufwand/kg']])*Baukon_alle_A4_join[[#This Row],[Transportdistanz.Voreinstellung]]*Baukon_alle_A4_join[[#This Row],[Masse '[kg/m²'] min]]</f>
        <v>2.817902943713553E-2</v>
      </c>
      <c r="S43" s="132">
        <f>_xlfn.XLOOKUP(Baukon_alle_A4_join[[#This Row],[Transport.Transport-Modus]],LeitRess_Materialien[Name],LeitRess_Materialien[TMR '[kg Gesamtmaterialaufwand/kg']])*Baukon_alle_A4_join[[#This Row],[Transportdistanz.Voreinstellung]]*Baukon_alle_A4_join[[#This Row],[Masse '[kg/m²'] max]]</f>
        <v>2.817902943713553E-2</v>
      </c>
      <c r="T43" s="132">
        <f>_xlfn.XLOOKUP(Baukon_alle_A4_join[[#This Row],[Transport.Transport-Modus]],LeitRess_Materialien[Name],LeitRess_Materialien[GWP '[kg CO2-Äqu./kg']])*Baukon_alle_A4_join[[#This Row],[Transportdistanz.Voreinstellung]]*Baukon_alle_A4_join[[#This Row],[Masse '[kg/m²'] Referenz]]</f>
        <v>2.6230371573222857E-2</v>
      </c>
      <c r="U43" s="132">
        <f>_xlfn.XLOOKUP(Baukon_alle_A4_join[[#This Row],[Transport.Transport-Modus]],LeitRess_Materialien[Name],LeitRess_Materialien[GWP '[kg CO2-Äqu./kg']])*Baukon_alle_A4_join[[#This Row],[Transportdistanz.Voreinstellung]]*Baukon_alle_A4_join[[#This Row],[Masse '[kg/m²'] min]]</f>
        <v>2.6230371573222857E-2</v>
      </c>
      <c r="V43" s="132">
        <f>_xlfn.XLOOKUP(Baukon_alle_A4_join[[#This Row],[Transport.Transport-Modus]],LeitRess_Materialien[Name],LeitRess_Materialien[GWP '[kg CO2-Äqu./kg']])*Baukon_alle_A4_join[[#This Row],[Transportdistanz.Voreinstellung]]*Baukon_alle_A4_join[[#This Row],[Masse '[kg/m²'] max]]</f>
        <v>2.6230371573222857E-2</v>
      </c>
      <c r="W43" s="132">
        <f>_xlfn.XLOOKUP(Baukon_alle_A4_join[[#This Row],[Transport.Transport-Modus]],LeitRess_Materialien[Name],LeitRess_Materialien[PENRT '[MJ/kg']])*Baukon_alle_A4_join[[#This Row],[Transportdistanz.Voreinstellung]]*Baukon_alle_A4_join[[#This Row],[Masse '[kg/m²'] Referenz]]</f>
        <v>0.16365756503399997</v>
      </c>
      <c r="X43" s="132">
        <f>_xlfn.XLOOKUP(Baukon_alle_A4_join[[#This Row],[Transport.Transport-Modus]],LeitRess_Materialien[Name],LeitRess_Materialien[PENRT '[MJ/kg']])*Baukon_alle_A4_join[[#This Row],[Transportdistanz.Voreinstellung]]*Baukon_alle_A4_join[[#This Row],[Masse '[kg/m²'] min]]</f>
        <v>0.16365756503399997</v>
      </c>
      <c r="Y43" s="132">
        <f>_xlfn.XLOOKUP(Baukon_alle_A4_join[[#This Row],[Transport.Transport-Modus]],LeitRess_Materialien[Name],LeitRess_Materialien[PENRT '[MJ/kg']])*Baukon_alle_A4_join[[#This Row],[Transportdistanz.Voreinstellung]]*Baukon_alle_A4_join[[#This Row],[Masse '[kg/m²'] max]]</f>
        <v>0.16365756503399997</v>
      </c>
      <c r="Z43" s="132">
        <f>_xlfn.XLOOKUP(Baukon_alle_A4_join[[#This Row],[Transport.Transport-Modus]],LeitRess_Materialien[Name],LeitRess_Materialien[WDP '[m³ weighted water/kg']])*Baukon_alle_A4_join[[#This Row],[Transportdistanz.Voreinstellung]]*Baukon_alle_A4_join[[#This Row],[Masse '[kg/m²'] Referenz]]</f>
        <v>1.7798435963740447E-3</v>
      </c>
      <c r="AA43" s="132">
        <f>_xlfn.XLOOKUP(Baukon_alle_A4_join[[#This Row],[Transport.Transport-Modus]],LeitRess_Materialien[Name],LeitRess_Materialien[WDP '[m³ weighted water/kg']])*Baukon_alle_A4_join[[#This Row],[Transportdistanz.Voreinstellung]]*Baukon_alle_A4_join[[#This Row],[Masse '[kg/m²'] min]]</f>
        <v>1.7798435963740447E-3</v>
      </c>
      <c r="AB43" s="132">
        <f>_xlfn.XLOOKUP(Baukon_alle_A4_join[[#This Row],[Transport.Transport-Modus]],LeitRess_Materialien[Name],LeitRess_Materialien[WDP '[m³ weighted water/kg']])*Baukon_alle_A4_join[[#This Row],[Transportdistanz.Voreinstellung]]*Baukon_alle_A4_join[[#This Row],[Masse '[kg/m²'] max]]</f>
        <v>1.7798435963740447E-3</v>
      </c>
      <c r="AC43"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4.3579935977857095E-6</v>
      </c>
      <c r="AD43"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4.3579935977857095E-6</v>
      </c>
      <c r="AE43"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4.3579935977857095E-6</v>
      </c>
    </row>
    <row r="44" spans="1:31" x14ac:dyDescent="0.45">
      <c r="A44" t="s">
        <v>87</v>
      </c>
      <c r="B44" t="s">
        <v>325</v>
      </c>
      <c r="C44" t="s">
        <v>275</v>
      </c>
      <c r="D44" t="s">
        <v>103</v>
      </c>
      <c r="E44" t="s">
        <v>334</v>
      </c>
      <c r="F44" t="s">
        <v>272</v>
      </c>
      <c r="G44">
        <v>2.71</v>
      </c>
      <c r="H44">
        <v>2.71</v>
      </c>
      <c r="I44">
        <v>2.71</v>
      </c>
      <c r="K44" t="s">
        <v>17</v>
      </c>
      <c r="L44" t="s">
        <v>305</v>
      </c>
      <c r="M44" t="s">
        <v>253</v>
      </c>
      <c r="N44" s="132">
        <f>_xlfn.XLOOKUP(Baukon_alle_A4_join[[#This Row],[Transport.Transport-Modus]],LeitRess_Materialien[Name],LeitRess_Materialien[RMI '[kg Primärrohstoffe / kg']])*Baukon_alle_A4_join[[#This Row],[Transportdistanz.Voreinstellung]]*Baukon_alle_A4_join[[#This Row],[Masse '[kg/m²'] Referenz]]</f>
        <v>2.3643162079376674E-2</v>
      </c>
      <c r="O44" s="132">
        <f>_xlfn.XLOOKUP(Baukon_alle_A4_join[[#This Row],[Transport.Transport-Modus]],LeitRess_Materialien[Name],LeitRess_Materialien[RMI '[kg Primärrohstoffe / kg']])*Baukon_alle_A4_join[[#This Row],[Transportdistanz.Voreinstellung]]*Baukon_alle_A4_join[[#This Row],[Masse '[kg/m²'] min]]</f>
        <v>2.3643162079376674E-2</v>
      </c>
      <c r="P44" s="132">
        <f>_xlfn.XLOOKUP(Baukon_alle_A4_join[[#This Row],[Transport.Transport-Modus]],LeitRess_Materialien[Name],LeitRess_Materialien[RMI '[kg Primärrohstoffe / kg']])*Baukon_alle_A4_join[[#This Row],[Transportdistanz.Voreinstellung]]*Baukon_alle_A4_join[[#This Row],[Masse '[kg/m²'] max]]</f>
        <v>2.3643162079376674E-2</v>
      </c>
      <c r="Q44" s="132">
        <f>_xlfn.XLOOKUP(Baukon_alle_A4_join[[#This Row],[Transport.Transport-Modus]],LeitRess_Materialien[Name],LeitRess_Materialien[TMR '[kg Gesamtmaterialaufwand/kg']])*Baukon_alle_A4_join[[#This Row],[Transportdistanz.Voreinstellung]]*Baukon_alle_A4_join[[#This Row],[Masse '[kg/m²'] Referenz]]</f>
        <v>2.817902943713553E-2</v>
      </c>
      <c r="R44" s="132">
        <f>_xlfn.XLOOKUP(Baukon_alle_A4_join[[#This Row],[Transport.Transport-Modus]],LeitRess_Materialien[Name],LeitRess_Materialien[TMR '[kg Gesamtmaterialaufwand/kg']])*Baukon_alle_A4_join[[#This Row],[Transportdistanz.Voreinstellung]]*Baukon_alle_A4_join[[#This Row],[Masse '[kg/m²'] min]]</f>
        <v>2.817902943713553E-2</v>
      </c>
      <c r="S44" s="132">
        <f>_xlfn.XLOOKUP(Baukon_alle_A4_join[[#This Row],[Transport.Transport-Modus]],LeitRess_Materialien[Name],LeitRess_Materialien[TMR '[kg Gesamtmaterialaufwand/kg']])*Baukon_alle_A4_join[[#This Row],[Transportdistanz.Voreinstellung]]*Baukon_alle_A4_join[[#This Row],[Masse '[kg/m²'] max]]</f>
        <v>2.817902943713553E-2</v>
      </c>
      <c r="T44" s="132">
        <f>_xlfn.XLOOKUP(Baukon_alle_A4_join[[#This Row],[Transport.Transport-Modus]],LeitRess_Materialien[Name],LeitRess_Materialien[GWP '[kg CO2-Äqu./kg']])*Baukon_alle_A4_join[[#This Row],[Transportdistanz.Voreinstellung]]*Baukon_alle_A4_join[[#This Row],[Masse '[kg/m²'] Referenz]]</f>
        <v>2.6230371573222857E-2</v>
      </c>
      <c r="U44" s="132">
        <f>_xlfn.XLOOKUP(Baukon_alle_A4_join[[#This Row],[Transport.Transport-Modus]],LeitRess_Materialien[Name],LeitRess_Materialien[GWP '[kg CO2-Äqu./kg']])*Baukon_alle_A4_join[[#This Row],[Transportdistanz.Voreinstellung]]*Baukon_alle_A4_join[[#This Row],[Masse '[kg/m²'] min]]</f>
        <v>2.6230371573222857E-2</v>
      </c>
      <c r="V44" s="132">
        <f>_xlfn.XLOOKUP(Baukon_alle_A4_join[[#This Row],[Transport.Transport-Modus]],LeitRess_Materialien[Name],LeitRess_Materialien[GWP '[kg CO2-Äqu./kg']])*Baukon_alle_A4_join[[#This Row],[Transportdistanz.Voreinstellung]]*Baukon_alle_A4_join[[#This Row],[Masse '[kg/m²'] max]]</f>
        <v>2.6230371573222857E-2</v>
      </c>
      <c r="W44" s="132">
        <f>_xlfn.XLOOKUP(Baukon_alle_A4_join[[#This Row],[Transport.Transport-Modus]],LeitRess_Materialien[Name],LeitRess_Materialien[PENRT '[MJ/kg']])*Baukon_alle_A4_join[[#This Row],[Transportdistanz.Voreinstellung]]*Baukon_alle_A4_join[[#This Row],[Masse '[kg/m²'] Referenz]]</f>
        <v>0.16365756503399997</v>
      </c>
      <c r="X44" s="132">
        <f>_xlfn.XLOOKUP(Baukon_alle_A4_join[[#This Row],[Transport.Transport-Modus]],LeitRess_Materialien[Name],LeitRess_Materialien[PENRT '[MJ/kg']])*Baukon_alle_A4_join[[#This Row],[Transportdistanz.Voreinstellung]]*Baukon_alle_A4_join[[#This Row],[Masse '[kg/m²'] min]]</f>
        <v>0.16365756503399997</v>
      </c>
      <c r="Y44" s="132">
        <f>_xlfn.XLOOKUP(Baukon_alle_A4_join[[#This Row],[Transport.Transport-Modus]],LeitRess_Materialien[Name],LeitRess_Materialien[PENRT '[MJ/kg']])*Baukon_alle_A4_join[[#This Row],[Transportdistanz.Voreinstellung]]*Baukon_alle_A4_join[[#This Row],[Masse '[kg/m²'] max]]</f>
        <v>0.16365756503399997</v>
      </c>
      <c r="Z44" s="132">
        <f>_xlfn.XLOOKUP(Baukon_alle_A4_join[[#This Row],[Transport.Transport-Modus]],LeitRess_Materialien[Name],LeitRess_Materialien[WDP '[m³ weighted water/kg']])*Baukon_alle_A4_join[[#This Row],[Transportdistanz.Voreinstellung]]*Baukon_alle_A4_join[[#This Row],[Masse '[kg/m²'] Referenz]]</f>
        <v>1.7798435963740447E-3</v>
      </c>
      <c r="AA44" s="132">
        <f>_xlfn.XLOOKUP(Baukon_alle_A4_join[[#This Row],[Transport.Transport-Modus]],LeitRess_Materialien[Name],LeitRess_Materialien[WDP '[m³ weighted water/kg']])*Baukon_alle_A4_join[[#This Row],[Transportdistanz.Voreinstellung]]*Baukon_alle_A4_join[[#This Row],[Masse '[kg/m²'] min]]</f>
        <v>1.7798435963740447E-3</v>
      </c>
      <c r="AB44" s="132">
        <f>_xlfn.XLOOKUP(Baukon_alle_A4_join[[#This Row],[Transport.Transport-Modus]],LeitRess_Materialien[Name],LeitRess_Materialien[WDP '[m³ weighted water/kg']])*Baukon_alle_A4_join[[#This Row],[Transportdistanz.Voreinstellung]]*Baukon_alle_A4_join[[#This Row],[Masse '[kg/m²'] max]]</f>
        <v>1.7798435963740447E-3</v>
      </c>
      <c r="AC44"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4.3579935977857095E-6</v>
      </c>
      <c r="AD44"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4.3579935977857095E-6</v>
      </c>
      <c r="AE44"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4.3579935977857095E-6</v>
      </c>
    </row>
    <row r="45" spans="1:31" x14ac:dyDescent="0.45">
      <c r="A45" t="s">
        <v>87</v>
      </c>
      <c r="B45" t="s">
        <v>325</v>
      </c>
      <c r="C45" t="s">
        <v>275</v>
      </c>
      <c r="D45" t="s">
        <v>103</v>
      </c>
      <c r="E45" t="s">
        <v>241</v>
      </c>
      <c r="F45" t="s">
        <v>275</v>
      </c>
      <c r="G45">
        <v>19.2</v>
      </c>
      <c r="H45">
        <v>16</v>
      </c>
      <c r="I45">
        <v>25.6</v>
      </c>
      <c r="K45" t="s">
        <v>17</v>
      </c>
      <c r="L45" t="s">
        <v>305</v>
      </c>
      <c r="M45" t="s">
        <v>253</v>
      </c>
      <c r="N45" s="132">
        <f>_xlfn.XLOOKUP(Baukon_alle_A4_join[[#This Row],[Transport.Transport-Modus]],LeitRess_Materialien[Name],LeitRess_Materialien[RMI '[kg Primärrohstoffe / kg']])*Baukon_alle_A4_join[[#This Row],[Transportdistanz.Voreinstellung]]*Baukon_alle_A4_join[[#This Row],[Masse '[kg/m²'] Referenz]]</f>
        <v>0.16750874978746574</v>
      </c>
      <c r="O45" s="132">
        <f>_xlfn.XLOOKUP(Baukon_alle_A4_join[[#This Row],[Transport.Transport-Modus]],LeitRess_Materialien[Name],LeitRess_Materialien[RMI '[kg Primärrohstoffe / kg']])*Baukon_alle_A4_join[[#This Row],[Transportdistanz.Voreinstellung]]*Baukon_alle_A4_join[[#This Row],[Masse '[kg/m²'] min]]</f>
        <v>0.13959062482288812</v>
      </c>
      <c r="P45" s="132">
        <f>_xlfn.XLOOKUP(Baukon_alle_A4_join[[#This Row],[Transport.Transport-Modus]],LeitRess_Materialien[Name],LeitRess_Materialien[RMI '[kg Primärrohstoffe / kg']])*Baukon_alle_A4_join[[#This Row],[Transportdistanz.Voreinstellung]]*Baukon_alle_A4_join[[#This Row],[Masse '[kg/m²'] max]]</f>
        <v>0.223344999716621</v>
      </c>
      <c r="Q45" s="132">
        <f>_xlfn.XLOOKUP(Baukon_alle_A4_join[[#This Row],[Transport.Transport-Modus]],LeitRess_Materialien[Name],LeitRess_Materialien[TMR '[kg Gesamtmaterialaufwand/kg']])*Baukon_alle_A4_join[[#This Row],[Transportdistanz.Voreinstellung]]*Baukon_alle_A4_join[[#This Row],[Masse '[kg/m²'] Referenz]]</f>
        <v>0.19964478420405984</v>
      </c>
      <c r="R45" s="132">
        <f>_xlfn.XLOOKUP(Baukon_alle_A4_join[[#This Row],[Transport.Transport-Modus]],LeitRess_Materialien[Name],LeitRess_Materialien[TMR '[kg Gesamtmaterialaufwand/kg']])*Baukon_alle_A4_join[[#This Row],[Transportdistanz.Voreinstellung]]*Baukon_alle_A4_join[[#This Row],[Masse '[kg/m²'] min]]</f>
        <v>0.1663706535033832</v>
      </c>
      <c r="S45" s="132">
        <f>_xlfn.XLOOKUP(Baukon_alle_A4_join[[#This Row],[Transport.Transport-Modus]],LeitRess_Materialien[Name],LeitRess_Materialien[TMR '[kg Gesamtmaterialaufwand/kg']])*Baukon_alle_A4_join[[#This Row],[Transportdistanz.Voreinstellung]]*Baukon_alle_A4_join[[#This Row],[Masse '[kg/m²'] max]]</f>
        <v>0.26619304560541313</v>
      </c>
      <c r="T45" s="132">
        <f>_xlfn.XLOOKUP(Baukon_alle_A4_join[[#This Row],[Transport.Transport-Modus]],LeitRess_Materialien[Name],LeitRess_Materialien[GWP '[kg CO2-Äqu./kg']])*Baukon_alle_A4_join[[#This Row],[Transportdistanz.Voreinstellung]]*Baukon_alle_A4_join[[#This Row],[Masse '[kg/m²'] Referenz]]</f>
        <v>0.18583879490991839</v>
      </c>
      <c r="U45" s="132">
        <f>_xlfn.XLOOKUP(Baukon_alle_A4_join[[#This Row],[Transport.Transport-Modus]],LeitRess_Materialien[Name],LeitRess_Materialien[GWP '[kg CO2-Äqu./kg']])*Baukon_alle_A4_join[[#This Row],[Transportdistanz.Voreinstellung]]*Baukon_alle_A4_join[[#This Row],[Masse '[kg/m²'] min]]</f>
        <v>0.15486566242493199</v>
      </c>
      <c r="V45" s="132">
        <f>_xlfn.XLOOKUP(Baukon_alle_A4_join[[#This Row],[Transport.Transport-Modus]],LeitRess_Materialien[Name],LeitRess_Materialien[GWP '[kg CO2-Äqu./kg']])*Baukon_alle_A4_join[[#This Row],[Transportdistanz.Voreinstellung]]*Baukon_alle_A4_join[[#This Row],[Masse '[kg/m²'] max]]</f>
        <v>0.24778505987989119</v>
      </c>
      <c r="W45" s="132">
        <f>_xlfn.XLOOKUP(Baukon_alle_A4_join[[#This Row],[Transport.Transport-Modus]],LeitRess_Materialien[Name],LeitRess_Materialien[PENRT '[MJ/kg']])*Baukon_alle_A4_join[[#This Row],[Transportdistanz.Voreinstellung]]*Baukon_alle_A4_join[[#This Row],[Masse '[kg/m²'] Referenz]]</f>
        <v>1.1594927116799998</v>
      </c>
      <c r="X45" s="132">
        <f>_xlfn.XLOOKUP(Baukon_alle_A4_join[[#This Row],[Transport.Transport-Modus]],LeitRess_Materialien[Name],LeitRess_Materialien[PENRT '[MJ/kg']])*Baukon_alle_A4_join[[#This Row],[Transportdistanz.Voreinstellung]]*Baukon_alle_A4_join[[#This Row],[Masse '[kg/m²'] min]]</f>
        <v>0.9662439263999999</v>
      </c>
      <c r="Y45" s="132">
        <f>_xlfn.XLOOKUP(Baukon_alle_A4_join[[#This Row],[Transport.Transport-Modus]],LeitRess_Materialien[Name],LeitRess_Materialien[PENRT '[MJ/kg']])*Baukon_alle_A4_join[[#This Row],[Transportdistanz.Voreinstellung]]*Baukon_alle_A4_join[[#This Row],[Masse '[kg/m²'] max]]</f>
        <v>1.54599028224</v>
      </c>
      <c r="Z45" s="132">
        <f>_xlfn.XLOOKUP(Baukon_alle_A4_join[[#This Row],[Transport.Transport-Modus]],LeitRess_Materialien[Name],LeitRess_Materialien[WDP '[m³ weighted water/kg']])*Baukon_alle_A4_join[[#This Row],[Transportdistanz.Voreinstellung]]*Baukon_alle_A4_join[[#This Row],[Masse '[kg/m²'] Referenz]]</f>
        <v>1.2609962011210942E-2</v>
      </c>
      <c r="AA45" s="132">
        <f>_xlfn.XLOOKUP(Baukon_alle_A4_join[[#This Row],[Transport.Transport-Modus]],LeitRess_Materialien[Name],LeitRess_Materialien[WDP '[m³ weighted water/kg']])*Baukon_alle_A4_join[[#This Row],[Transportdistanz.Voreinstellung]]*Baukon_alle_A4_join[[#This Row],[Masse '[kg/m²'] min]]</f>
        <v>1.050830167600912E-2</v>
      </c>
      <c r="AB45" s="132">
        <f>_xlfn.XLOOKUP(Baukon_alle_A4_join[[#This Row],[Transport.Transport-Modus]],LeitRess_Materialien[Name],LeitRess_Materialien[WDP '[m³ weighted water/kg']])*Baukon_alle_A4_join[[#This Row],[Transportdistanz.Voreinstellung]]*Baukon_alle_A4_join[[#This Row],[Masse '[kg/m²'] max]]</f>
        <v>1.6813282681614593E-2</v>
      </c>
      <c r="AC45"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3.0875821799810194E-5</v>
      </c>
      <c r="AD45"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2.5729851499841828E-5</v>
      </c>
      <c r="AE45"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4.1167762399746932E-5</v>
      </c>
    </row>
    <row r="46" spans="1:31" x14ac:dyDescent="0.45">
      <c r="A46" t="s">
        <v>87</v>
      </c>
      <c r="B46" t="s">
        <v>308</v>
      </c>
      <c r="C46" t="s">
        <v>314</v>
      </c>
      <c r="D46" t="s">
        <v>96</v>
      </c>
      <c r="E46" t="s">
        <v>333</v>
      </c>
      <c r="F46" t="s">
        <v>276</v>
      </c>
      <c r="G46">
        <v>9.6</v>
      </c>
      <c r="H46">
        <v>6.4</v>
      </c>
      <c r="I46">
        <v>16</v>
      </c>
      <c r="K46" t="s">
        <v>17</v>
      </c>
      <c r="L46" t="s">
        <v>305</v>
      </c>
      <c r="M46" t="s">
        <v>253</v>
      </c>
      <c r="N46" s="132">
        <f>_xlfn.XLOOKUP(Baukon_alle_A4_join[[#This Row],[Transport.Transport-Modus]],LeitRess_Materialien[Name],LeitRess_Materialien[RMI '[kg Primärrohstoffe / kg']])*Baukon_alle_A4_join[[#This Row],[Transportdistanz.Voreinstellung]]*Baukon_alle_A4_join[[#This Row],[Masse '[kg/m²'] Referenz]]</f>
        <v>8.3754374893732872E-2</v>
      </c>
      <c r="O46" s="132">
        <f>_xlfn.XLOOKUP(Baukon_alle_A4_join[[#This Row],[Transport.Transport-Modus]],LeitRess_Materialien[Name],LeitRess_Materialien[RMI '[kg Primärrohstoffe / kg']])*Baukon_alle_A4_join[[#This Row],[Transportdistanz.Voreinstellung]]*Baukon_alle_A4_join[[#This Row],[Masse '[kg/m²'] min]]</f>
        <v>5.583624992915525E-2</v>
      </c>
      <c r="P46" s="132">
        <f>_xlfn.XLOOKUP(Baukon_alle_A4_join[[#This Row],[Transport.Transport-Modus]],LeitRess_Materialien[Name],LeitRess_Materialien[RMI '[kg Primärrohstoffe / kg']])*Baukon_alle_A4_join[[#This Row],[Transportdistanz.Voreinstellung]]*Baukon_alle_A4_join[[#This Row],[Masse '[kg/m²'] max]]</f>
        <v>0.13959062482288812</v>
      </c>
      <c r="Q46" s="132">
        <f>_xlfn.XLOOKUP(Baukon_alle_A4_join[[#This Row],[Transport.Transport-Modus]],LeitRess_Materialien[Name],LeitRess_Materialien[TMR '[kg Gesamtmaterialaufwand/kg']])*Baukon_alle_A4_join[[#This Row],[Transportdistanz.Voreinstellung]]*Baukon_alle_A4_join[[#This Row],[Masse '[kg/m²'] Referenz]]</f>
        <v>9.9822392102029922E-2</v>
      </c>
      <c r="R46" s="132">
        <f>_xlfn.XLOOKUP(Baukon_alle_A4_join[[#This Row],[Transport.Transport-Modus]],LeitRess_Materialien[Name],LeitRess_Materialien[TMR '[kg Gesamtmaterialaufwand/kg']])*Baukon_alle_A4_join[[#This Row],[Transportdistanz.Voreinstellung]]*Baukon_alle_A4_join[[#This Row],[Masse '[kg/m²'] min]]</f>
        <v>6.6548261401353281E-2</v>
      </c>
      <c r="S46" s="132">
        <f>_xlfn.XLOOKUP(Baukon_alle_A4_join[[#This Row],[Transport.Transport-Modus]],LeitRess_Materialien[Name],LeitRess_Materialien[TMR '[kg Gesamtmaterialaufwand/kg']])*Baukon_alle_A4_join[[#This Row],[Transportdistanz.Voreinstellung]]*Baukon_alle_A4_join[[#This Row],[Masse '[kg/m²'] max]]</f>
        <v>0.1663706535033832</v>
      </c>
      <c r="T46" s="132">
        <f>_xlfn.XLOOKUP(Baukon_alle_A4_join[[#This Row],[Transport.Transport-Modus]],LeitRess_Materialien[Name],LeitRess_Materialien[GWP '[kg CO2-Äqu./kg']])*Baukon_alle_A4_join[[#This Row],[Transportdistanz.Voreinstellung]]*Baukon_alle_A4_join[[#This Row],[Masse '[kg/m²'] Referenz]]</f>
        <v>9.2919397454959196E-2</v>
      </c>
      <c r="U46" s="132">
        <f>_xlfn.XLOOKUP(Baukon_alle_A4_join[[#This Row],[Transport.Transport-Modus]],LeitRess_Materialien[Name],LeitRess_Materialien[GWP '[kg CO2-Äqu./kg']])*Baukon_alle_A4_join[[#This Row],[Transportdistanz.Voreinstellung]]*Baukon_alle_A4_join[[#This Row],[Masse '[kg/m²'] min]]</f>
        <v>6.1946264969972797E-2</v>
      </c>
      <c r="V46" s="132">
        <f>_xlfn.XLOOKUP(Baukon_alle_A4_join[[#This Row],[Transport.Transport-Modus]],LeitRess_Materialien[Name],LeitRess_Materialien[GWP '[kg CO2-Äqu./kg']])*Baukon_alle_A4_join[[#This Row],[Transportdistanz.Voreinstellung]]*Baukon_alle_A4_join[[#This Row],[Masse '[kg/m²'] max]]</f>
        <v>0.15486566242493199</v>
      </c>
      <c r="W46" s="132">
        <f>_xlfn.XLOOKUP(Baukon_alle_A4_join[[#This Row],[Transport.Transport-Modus]],LeitRess_Materialien[Name],LeitRess_Materialien[PENRT '[MJ/kg']])*Baukon_alle_A4_join[[#This Row],[Transportdistanz.Voreinstellung]]*Baukon_alle_A4_join[[#This Row],[Masse '[kg/m²'] Referenz]]</f>
        <v>0.57974635583999989</v>
      </c>
      <c r="X46" s="132">
        <f>_xlfn.XLOOKUP(Baukon_alle_A4_join[[#This Row],[Transport.Transport-Modus]],LeitRess_Materialien[Name],LeitRess_Materialien[PENRT '[MJ/kg']])*Baukon_alle_A4_join[[#This Row],[Transportdistanz.Voreinstellung]]*Baukon_alle_A4_join[[#This Row],[Masse '[kg/m²'] min]]</f>
        <v>0.38649757056</v>
      </c>
      <c r="Y46" s="132">
        <f>_xlfn.XLOOKUP(Baukon_alle_A4_join[[#This Row],[Transport.Transport-Modus]],LeitRess_Materialien[Name],LeitRess_Materialien[PENRT '[MJ/kg']])*Baukon_alle_A4_join[[#This Row],[Transportdistanz.Voreinstellung]]*Baukon_alle_A4_join[[#This Row],[Masse '[kg/m²'] max]]</f>
        <v>0.9662439263999999</v>
      </c>
      <c r="Z46" s="132">
        <f>_xlfn.XLOOKUP(Baukon_alle_A4_join[[#This Row],[Transport.Transport-Modus]],LeitRess_Materialien[Name],LeitRess_Materialien[WDP '[m³ weighted water/kg']])*Baukon_alle_A4_join[[#This Row],[Transportdistanz.Voreinstellung]]*Baukon_alle_A4_join[[#This Row],[Masse '[kg/m²'] Referenz]]</f>
        <v>6.3049810056054712E-3</v>
      </c>
      <c r="AA46" s="132">
        <f>_xlfn.XLOOKUP(Baukon_alle_A4_join[[#This Row],[Transport.Transport-Modus]],LeitRess_Materialien[Name],LeitRess_Materialien[WDP '[m³ weighted water/kg']])*Baukon_alle_A4_join[[#This Row],[Transportdistanz.Voreinstellung]]*Baukon_alle_A4_join[[#This Row],[Masse '[kg/m²'] min]]</f>
        <v>4.2033206704036484E-3</v>
      </c>
      <c r="AB46" s="132">
        <f>_xlfn.XLOOKUP(Baukon_alle_A4_join[[#This Row],[Transport.Transport-Modus]],LeitRess_Materialien[Name],LeitRess_Materialien[WDP '[m³ weighted water/kg']])*Baukon_alle_A4_join[[#This Row],[Transportdistanz.Voreinstellung]]*Baukon_alle_A4_join[[#This Row],[Masse '[kg/m²'] max]]</f>
        <v>1.050830167600912E-2</v>
      </c>
      <c r="AC46"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1.5437910899905097E-5</v>
      </c>
      <c r="AD46"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1.0291940599936733E-5</v>
      </c>
      <c r="AE46"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2.5729851499841828E-5</v>
      </c>
    </row>
    <row r="47" spans="1:31" x14ac:dyDescent="0.45">
      <c r="A47" t="s">
        <v>87</v>
      </c>
      <c r="B47" t="s">
        <v>325</v>
      </c>
      <c r="C47" t="s">
        <v>312</v>
      </c>
      <c r="D47" t="s">
        <v>102</v>
      </c>
      <c r="E47" t="s">
        <v>243</v>
      </c>
      <c r="F47" t="s">
        <v>243</v>
      </c>
      <c r="G47">
        <v>11.83</v>
      </c>
      <c r="H47">
        <v>11.83</v>
      </c>
      <c r="I47">
        <v>11.83</v>
      </c>
      <c r="K47" t="s">
        <v>17</v>
      </c>
      <c r="L47" t="s">
        <v>305</v>
      </c>
      <c r="M47" t="s">
        <v>253</v>
      </c>
      <c r="N47" s="132">
        <f>_xlfn.XLOOKUP(Baukon_alle_A4_join[[#This Row],[Transport.Transport-Modus]],LeitRess_Materialien[Name],LeitRess_Materialien[RMI '[kg Primärrohstoffe / kg']])*Baukon_alle_A4_join[[#This Row],[Transportdistanz.Voreinstellung]]*Baukon_alle_A4_join[[#This Row],[Masse '[kg/m²'] Referenz]]</f>
        <v>0.1032098182284229</v>
      </c>
      <c r="O47" s="132">
        <f>_xlfn.XLOOKUP(Baukon_alle_A4_join[[#This Row],[Transport.Transport-Modus]],LeitRess_Materialien[Name],LeitRess_Materialien[RMI '[kg Primärrohstoffe / kg']])*Baukon_alle_A4_join[[#This Row],[Transportdistanz.Voreinstellung]]*Baukon_alle_A4_join[[#This Row],[Masse '[kg/m²'] min]]</f>
        <v>0.1032098182284229</v>
      </c>
      <c r="P47" s="132">
        <f>_xlfn.XLOOKUP(Baukon_alle_A4_join[[#This Row],[Transport.Transport-Modus]],LeitRess_Materialien[Name],LeitRess_Materialien[RMI '[kg Primärrohstoffe / kg']])*Baukon_alle_A4_join[[#This Row],[Transportdistanz.Voreinstellung]]*Baukon_alle_A4_join[[#This Row],[Masse '[kg/m²'] max]]</f>
        <v>0.1032098182284229</v>
      </c>
      <c r="Q47" s="132">
        <f>_xlfn.XLOOKUP(Baukon_alle_A4_join[[#This Row],[Transport.Transport-Modus]],LeitRess_Materialien[Name],LeitRess_Materialien[TMR '[kg Gesamtmaterialaufwand/kg']])*Baukon_alle_A4_join[[#This Row],[Transportdistanz.Voreinstellung]]*Baukon_alle_A4_join[[#This Row],[Masse '[kg/m²'] Referenz]]</f>
        <v>0.12301030193406395</v>
      </c>
      <c r="R47" s="132">
        <f>_xlfn.XLOOKUP(Baukon_alle_A4_join[[#This Row],[Transport.Transport-Modus]],LeitRess_Materialien[Name],LeitRess_Materialien[TMR '[kg Gesamtmaterialaufwand/kg']])*Baukon_alle_A4_join[[#This Row],[Transportdistanz.Voreinstellung]]*Baukon_alle_A4_join[[#This Row],[Masse '[kg/m²'] min]]</f>
        <v>0.12301030193406395</v>
      </c>
      <c r="S47" s="132">
        <f>_xlfn.XLOOKUP(Baukon_alle_A4_join[[#This Row],[Transport.Transport-Modus]],LeitRess_Materialien[Name],LeitRess_Materialien[TMR '[kg Gesamtmaterialaufwand/kg']])*Baukon_alle_A4_join[[#This Row],[Transportdistanz.Voreinstellung]]*Baukon_alle_A4_join[[#This Row],[Masse '[kg/m²'] max]]</f>
        <v>0.12301030193406395</v>
      </c>
      <c r="T47" s="132">
        <f>_xlfn.XLOOKUP(Baukon_alle_A4_join[[#This Row],[Transport.Transport-Modus]],LeitRess_Materialien[Name],LeitRess_Materialien[GWP '[kg CO2-Äqu./kg']])*Baukon_alle_A4_join[[#This Row],[Transportdistanz.Voreinstellung]]*Baukon_alle_A4_join[[#This Row],[Masse '[kg/m²'] Referenz]]</f>
        <v>0.1145037991554341</v>
      </c>
      <c r="U47" s="132">
        <f>_xlfn.XLOOKUP(Baukon_alle_A4_join[[#This Row],[Transport.Transport-Modus]],LeitRess_Materialien[Name],LeitRess_Materialien[GWP '[kg CO2-Äqu./kg']])*Baukon_alle_A4_join[[#This Row],[Transportdistanz.Voreinstellung]]*Baukon_alle_A4_join[[#This Row],[Masse '[kg/m²'] min]]</f>
        <v>0.1145037991554341</v>
      </c>
      <c r="V47" s="132">
        <f>_xlfn.XLOOKUP(Baukon_alle_A4_join[[#This Row],[Transport.Transport-Modus]],LeitRess_Materialien[Name],LeitRess_Materialien[GWP '[kg CO2-Äqu./kg']])*Baukon_alle_A4_join[[#This Row],[Transportdistanz.Voreinstellung]]*Baukon_alle_A4_join[[#This Row],[Masse '[kg/m²'] max]]</f>
        <v>0.1145037991554341</v>
      </c>
      <c r="W47" s="132">
        <f>_xlfn.XLOOKUP(Baukon_alle_A4_join[[#This Row],[Transport.Transport-Modus]],LeitRess_Materialien[Name],LeitRess_Materialien[PENRT '[MJ/kg']])*Baukon_alle_A4_join[[#This Row],[Transportdistanz.Voreinstellung]]*Baukon_alle_A4_join[[#This Row],[Masse '[kg/m²'] Referenz]]</f>
        <v>0.71441660308199995</v>
      </c>
      <c r="X47" s="132">
        <f>_xlfn.XLOOKUP(Baukon_alle_A4_join[[#This Row],[Transport.Transport-Modus]],LeitRess_Materialien[Name],LeitRess_Materialien[PENRT '[MJ/kg']])*Baukon_alle_A4_join[[#This Row],[Transportdistanz.Voreinstellung]]*Baukon_alle_A4_join[[#This Row],[Masse '[kg/m²'] min]]</f>
        <v>0.71441660308199995</v>
      </c>
      <c r="Y47" s="132">
        <f>_xlfn.XLOOKUP(Baukon_alle_A4_join[[#This Row],[Transport.Transport-Modus]],LeitRess_Materialien[Name],LeitRess_Materialien[PENRT '[MJ/kg']])*Baukon_alle_A4_join[[#This Row],[Transportdistanz.Voreinstellung]]*Baukon_alle_A4_join[[#This Row],[Masse '[kg/m²'] max]]</f>
        <v>0.71441660308199995</v>
      </c>
      <c r="Z47" s="132">
        <f>_xlfn.XLOOKUP(Baukon_alle_A4_join[[#This Row],[Transport.Transport-Modus]],LeitRess_Materialien[Name],LeitRess_Materialien[WDP '[m³ weighted water/kg']])*Baukon_alle_A4_join[[#This Row],[Transportdistanz.Voreinstellung]]*Baukon_alle_A4_join[[#This Row],[Masse '[kg/m²'] Referenz]]</f>
        <v>7.7695755516992426E-3</v>
      </c>
      <c r="AA47" s="132">
        <f>_xlfn.XLOOKUP(Baukon_alle_A4_join[[#This Row],[Transport.Transport-Modus]],LeitRess_Materialien[Name],LeitRess_Materialien[WDP '[m³ weighted water/kg']])*Baukon_alle_A4_join[[#This Row],[Transportdistanz.Voreinstellung]]*Baukon_alle_A4_join[[#This Row],[Masse '[kg/m²'] min]]</f>
        <v>7.7695755516992426E-3</v>
      </c>
      <c r="AB47" s="132">
        <f>_xlfn.XLOOKUP(Baukon_alle_A4_join[[#This Row],[Transport.Transport-Modus]],LeitRess_Materialien[Name],LeitRess_Materialien[WDP '[m³ weighted water/kg']])*Baukon_alle_A4_join[[#This Row],[Transportdistanz.Voreinstellung]]*Baukon_alle_A4_join[[#This Row],[Masse '[kg/m²'] max]]</f>
        <v>7.7695755516992426E-3</v>
      </c>
      <c r="AC47"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1.9024008952695555E-5</v>
      </c>
      <c r="AD47"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1.9024008952695555E-5</v>
      </c>
      <c r="AE47"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1.9024008952695555E-5</v>
      </c>
    </row>
    <row r="48" spans="1:31" x14ac:dyDescent="0.45">
      <c r="A48" t="s">
        <v>87</v>
      </c>
      <c r="B48" t="s">
        <v>325</v>
      </c>
      <c r="C48" t="s">
        <v>275</v>
      </c>
      <c r="D48" t="s">
        <v>103</v>
      </c>
      <c r="E48" t="s">
        <v>243</v>
      </c>
      <c r="F48" t="s">
        <v>243</v>
      </c>
      <c r="G48">
        <v>23.66</v>
      </c>
      <c r="H48">
        <v>23.66</v>
      </c>
      <c r="I48">
        <v>23.66</v>
      </c>
      <c r="K48" t="s">
        <v>17</v>
      </c>
      <c r="L48" t="s">
        <v>305</v>
      </c>
      <c r="M48" t="s">
        <v>253</v>
      </c>
      <c r="N48" s="132">
        <f>_xlfn.XLOOKUP(Baukon_alle_A4_join[[#This Row],[Transport.Transport-Modus]],LeitRess_Materialien[Name],LeitRess_Materialien[RMI '[kg Primärrohstoffe / kg']])*Baukon_alle_A4_join[[#This Row],[Transportdistanz.Voreinstellung]]*Baukon_alle_A4_join[[#This Row],[Masse '[kg/m²'] Referenz]]</f>
        <v>0.2064196364568458</v>
      </c>
      <c r="O48" s="132">
        <f>_xlfn.XLOOKUP(Baukon_alle_A4_join[[#This Row],[Transport.Transport-Modus]],LeitRess_Materialien[Name],LeitRess_Materialien[RMI '[kg Primärrohstoffe / kg']])*Baukon_alle_A4_join[[#This Row],[Transportdistanz.Voreinstellung]]*Baukon_alle_A4_join[[#This Row],[Masse '[kg/m²'] min]]</f>
        <v>0.2064196364568458</v>
      </c>
      <c r="P48" s="132">
        <f>_xlfn.XLOOKUP(Baukon_alle_A4_join[[#This Row],[Transport.Transport-Modus]],LeitRess_Materialien[Name],LeitRess_Materialien[RMI '[kg Primärrohstoffe / kg']])*Baukon_alle_A4_join[[#This Row],[Transportdistanz.Voreinstellung]]*Baukon_alle_A4_join[[#This Row],[Masse '[kg/m²'] max]]</f>
        <v>0.2064196364568458</v>
      </c>
      <c r="Q48" s="132">
        <f>_xlfn.XLOOKUP(Baukon_alle_A4_join[[#This Row],[Transport.Transport-Modus]],LeitRess_Materialien[Name],LeitRess_Materialien[TMR '[kg Gesamtmaterialaufwand/kg']])*Baukon_alle_A4_join[[#This Row],[Transportdistanz.Voreinstellung]]*Baukon_alle_A4_join[[#This Row],[Masse '[kg/m²'] Referenz]]</f>
        <v>0.24602060386812791</v>
      </c>
      <c r="R48" s="132">
        <f>_xlfn.XLOOKUP(Baukon_alle_A4_join[[#This Row],[Transport.Transport-Modus]],LeitRess_Materialien[Name],LeitRess_Materialien[TMR '[kg Gesamtmaterialaufwand/kg']])*Baukon_alle_A4_join[[#This Row],[Transportdistanz.Voreinstellung]]*Baukon_alle_A4_join[[#This Row],[Masse '[kg/m²'] min]]</f>
        <v>0.24602060386812791</v>
      </c>
      <c r="S48" s="132">
        <f>_xlfn.XLOOKUP(Baukon_alle_A4_join[[#This Row],[Transport.Transport-Modus]],LeitRess_Materialien[Name],LeitRess_Materialien[TMR '[kg Gesamtmaterialaufwand/kg']])*Baukon_alle_A4_join[[#This Row],[Transportdistanz.Voreinstellung]]*Baukon_alle_A4_join[[#This Row],[Masse '[kg/m²'] max]]</f>
        <v>0.24602060386812791</v>
      </c>
      <c r="T48" s="132">
        <f>_xlfn.XLOOKUP(Baukon_alle_A4_join[[#This Row],[Transport.Transport-Modus]],LeitRess_Materialien[Name],LeitRess_Materialien[GWP '[kg CO2-Äqu./kg']])*Baukon_alle_A4_join[[#This Row],[Transportdistanz.Voreinstellung]]*Baukon_alle_A4_join[[#This Row],[Masse '[kg/m²'] Referenz]]</f>
        <v>0.2290075983108682</v>
      </c>
      <c r="U48" s="132">
        <f>_xlfn.XLOOKUP(Baukon_alle_A4_join[[#This Row],[Transport.Transport-Modus]],LeitRess_Materialien[Name],LeitRess_Materialien[GWP '[kg CO2-Äqu./kg']])*Baukon_alle_A4_join[[#This Row],[Transportdistanz.Voreinstellung]]*Baukon_alle_A4_join[[#This Row],[Masse '[kg/m²'] min]]</f>
        <v>0.2290075983108682</v>
      </c>
      <c r="V48" s="132">
        <f>_xlfn.XLOOKUP(Baukon_alle_A4_join[[#This Row],[Transport.Transport-Modus]],LeitRess_Materialien[Name],LeitRess_Materialien[GWP '[kg CO2-Äqu./kg']])*Baukon_alle_A4_join[[#This Row],[Transportdistanz.Voreinstellung]]*Baukon_alle_A4_join[[#This Row],[Masse '[kg/m²'] max]]</f>
        <v>0.2290075983108682</v>
      </c>
      <c r="W48" s="132">
        <f>_xlfn.XLOOKUP(Baukon_alle_A4_join[[#This Row],[Transport.Transport-Modus]],LeitRess_Materialien[Name],LeitRess_Materialien[PENRT '[MJ/kg']])*Baukon_alle_A4_join[[#This Row],[Transportdistanz.Voreinstellung]]*Baukon_alle_A4_join[[#This Row],[Masse '[kg/m²'] Referenz]]</f>
        <v>1.4288332061639999</v>
      </c>
      <c r="X48" s="132">
        <f>_xlfn.XLOOKUP(Baukon_alle_A4_join[[#This Row],[Transport.Transport-Modus]],LeitRess_Materialien[Name],LeitRess_Materialien[PENRT '[MJ/kg']])*Baukon_alle_A4_join[[#This Row],[Transportdistanz.Voreinstellung]]*Baukon_alle_A4_join[[#This Row],[Masse '[kg/m²'] min]]</f>
        <v>1.4288332061639999</v>
      </c>
      <c r="Y48" s="132">
        <f>_xlfn.XLOOKUP(Baukon_alle_A4_join[[#This Row],[Transport.Transport-Modus]],LeitRess_Materialien[Name],LeitRess_Materialien[PENRT '[MJ/kg']])*Baukon_alle_A4_join[[#This Row],[Transportdistanz.Voreinstellung]]*Baukon_alle_A4_join[[#This Row],[Masse '[kg/m²'] max]]</f>
        <v>1.4288332061639999</v>
      </c>
      <c r="Z48" s="132">
        <f>_xlfn.XLOOKUP(Baukon_alle_A4_join[[#This Row],[Transport.Transport-Modus]],LeitRess_Materialien[Name],LeitRess_Materialien[WDP '[m³ weighted water/kg']])*Baukon_alle_A4_join[[#This Row],[Transportdistanz.Voreinstellung]]*Baukon_alle_A4_join[[#This Row],[Masse '[kg/m²'] Referenz]]</f>
        <v>1.5539151103398485E-2</v>
      </c>
      <c r="AA48" s="132">
        <f>_xlfn.XLOOKUP(Baukon_alle_A4_join[[#This Row],[Transport.Transport-Modus]],LeitRess_Materialien[Name],LeitRess_Materialien[WDP '[m³ weighted water/kg']])*Baukon_alle_A4_join[[#This Row],[Transportdistanz.Voreinstellung]]*Baukon_alle_A4_join[[#This Row],[Masse '[kg/m²'] min]]</f>
        <v>1.5539151103398485E-2</v>
      </c>
      <c r="AB48" s="132">
        <f>_xlfn.XLOOKUP(Baukon_alle_A4_join[[#This Row],[Transport.Transport-Modus]],LeitRess_Materialien[Name],LeitRess_Materialien[WDP '[m³ weighted water/kg']])*Baukon_alle_A4_join[[#This Row],[Transportdistanz.Voreinstellung]]*Baukon_alle_A4_join[[#This Row],[Masse '[kg/m²'] max]]</f>
        <v>1.5539151103398485E-2</v>
      </c>
      <c r="AC48"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3.8048017905391111E-5</v>
      </c>
      <c r="AD48"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3.8048017905391111E-5</v>
      </c>
      <c r="AE48"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3.8048017905391111E-5</v>
      </c>
    </row>
    <row r="49" spans="1:31" x14ac:dyDescent="0.45">
      <c r="A49" t="s">
        <v>110</v>
      </c>
      <c r="B49" t="s">
        <v>318</v>
      </c>
      <c r="C49" t="s">
        <v>312</v>
      </c>
      <c r="D49" t="s">
        <v>116</v>
      </c>
      <c r="E49" t="s">
        <v>243</v>
      </c>
      <c r="F49" t="s">
        <v>243</v>
      </c>
      <c r="G49">
        <v>47.32</v>
      </c>
      <c r="H49">
        <v>47.32</v>
      </c>
      <c r="I49">
        <v>47.32</v>
      </c>
      <c r="K49" t="s">
        <v>17</v>
      </c>
      <c r="L49" t="s">
        <v>305</v>
      </c>
      <c r="M49" t="s">
        <v>253</v>
      </c>
      <c r="N49" s="132">
        <f>_xlfn.XLOOKUP(Baukon_alle_A4_join[[#This Row],[Transport.Transport-Modus]],LeitRess_Materialien[Name],LeitRess_Materialien[RMI '[kg Primärrohstoffe / kg']])*Baukon_alle_A4_join[[#This Row],[Transportdistanz.Voreinstellung]]*Baukon_alle_A4_join[[#This Row],[Masse '[kg/m²'] Referenz]]</f>
        <v>0.4128392729136916</v>
      </c>
      <c r="O49" s="132">
        <f>_xlfn.XLOOKUP(Baukon_alle_A4_join[[#This Row],[Transport.Transport-Modus]],LeitRess_Materialien[Name],LeitRess_Materialien[RMI '[kg Primärrohstoffe / kg']])*Baukon_alle_A4_join[[#This Row],[Transportdistanz.Voreinstellung]]*Baukon_alle_A4_join[[#This Row],[Masse '[kg/m²'] min]]</f>
        <v>0.4128392729136916</v>
      </c>
      <c r="P49" s="132">
        <f>_xlfn.XLOOKUP(Baukon_alle_A4_join[[#This Row],[Transport.Transport-Modus]],LeitRess_Materialien[Name],LeitRess_Materialien[RMI '[kg Primärrohstoffe / kg']])*Baukon_alle_A4_join[[#This Row],[Transportdistanz.Voreinstellung]]*Baukon_alle_A4_join[[#This Row],[Masse '[kg/m²'] max]]</f>
        <v>0.4128392729136916</v>
      </c>
      <c r="Q49" s="132">
        <f>_xlfn.XLOOKUP(Baukon_alle_A4_join[[#This Row],[Transport.Transport-Modus]],LeitRess_Materialien[Name],LeitRess_Materialien[TMR '[kg Gesamtmaterialaufwand/kg']])*Baukon_alle_A4_join[[#This Row],[Transportdistanz.Voreinstellung]]*Baukon_alle_A4_join[[#This Row],[Masse '[kg/m²'] Referenz]]</f>
        <v>0.49204120773625581</v>
      </c>
      <c r="R49" s="132">
        <f>_xlfn.XLOOKUP(Baukon_alle_A4_join[[#This Row],[Transport.Transport-Modus]],LeitRess_Materialien[Name],LeitRess_Materialien[TMR '[kg Gesamtmaterialaufwand/kg']])*Baukon_alle_A4_join[[#This Row],[Transportdistanz.Voreinstellung]]*Baukon_alle_A4_join[[#This Row],[Masse '[kg/m²'] min]]</f>
        <v>0.49204120773625581</v>
      </c>
      <c r="S49" s="132">
        <f>_xlfn.XLOOKUP(Baukon_alle_A4_join[[#This Row],[Transport.Transport-Modus]],LeitRess_Materialien[Name],LeitRess_Materialien[TMR '[kg Gesamtmaterialaufwand/kg']])*Baukon_alle_A4_join[[#This Row],[Transportdistanz.Voreinstellung]]*Baukon_alle_A4_join[[#This Row],[Masse '[kg/m²'] max]]</f>
        <v>0.49204120773625581</v>
      </c>
      <c r="T49" s="132">
        <f>_xlfn.XLOOKUP(Baukon_alle_A4_join[[#This Row],[Transport.Transport-Modus]],LeitRess_Materialien[Name],LeitRess_Materialien[GWP '[kg CO2-Äqu./kg']])*Baukon_alle_A4_join[[#This Row],[Transportdistanz.Voreinstellung]]*Baukon_alle_A4_join[[#This Row],[Masse '[kg/m²'] Referenz]]</f>
        <v>0.4580151966217364</v>
      </c>
      <c r="U49" s="132">
        <f>_xlfn.XLOOKUP(Baukon_alle_A4_join[[#This Row],[Transport.Transport-Modus]],LeitRess_Materialien[Name],LeitRess_Materialien[GWP '[kg CO2-Äqu./kg']])*Baukon_alle_A4_join[[#This Row],[Transportdistanz.Voreinstellung]]*Baukon_alle_A4_join[[#This Row],[Masse '[kg/m²'] min]]</f>
        <v>0.4580151966217364</v>
      </c>
      <c r="V49" s="132">
        <f>_xlfn.XLOOKUP(Baukon_alle_A4_join[[#This Row],[Transport.Transport-Modus]],LeitRess_Materialien[Name],LeitRess_Materialien[GWP '[kg CO2-Äqu./kg']])*Baukon_alle_A4_join[[#This Row],[Transportdistanz.Voreinstellung]]*Baukon_alle_A4_join[[#This Row],[Masse '[kg/m²'] max]]</f>
        <v>0.4580151966217364</v>
      </c>
      <c r="W49" s="132">
        <f>_xlfn.XLOOKUP(Baukon_alle_A4_join[[#This Row],[Transport.Transport-Modus]],LeitRess_Materialien[Name],LeitRess_Materialien[PENRT '[MJ/kg']])*Baukon_alle_A4_join[[#This Row],[Transportdistanz.Voreinstellung]]*Baukon_alle_A4_join[[#This Row],[Masse '[kg/m²'] Referenz]]</f>
        <v>2.8576664123279998</v>
      </c>
      <c r="X49" s="132">
        <f>_xlfn.XLOOKUP(Baukon_alle_A4_join[[#This Row],[Transport.Transport-Modus]],LeitRess_Materialien[Name],LeitRess_Materialien[PENRT '[MJ/kg']])*Baukon_alle_A4_join[[#This Row],[Transportdistanz.Voreinstellung]]*Baukon_alle_A4_join[[#This Row],[Masse '[kg/m²'] min]]</f>
        <v>2.8576664123279998</v>
      </c>
      <c r="Y49" s="132">
        <f>_xlfn.XLOOKUP(Baukon_alle_A4_join[[#This Row],[Transport.Transport-Modus]],LeitRess_Materialien[Name],LeitRess_Materialien[PENRT '[MJ/kg']])*Baukon_alle_A4_join[[#This Row],[Transportdistanz.Voreinstellung]]*Baukon_alle_A4_join[[#This Row],[Masse '[kg/m²'] max]]</f>
        <v>2.8576664123279998</v>
      </c>
      <c r="Z49" s="132">
        <f>_xlfn.XLOOKUP(Baukon_alle_A4_join[[#This Row],[Transport.Transport-Modus]],LeitRess_Materialien[Name],LeitRess_Materialien[WDP '[m³ weighted water/kg']])*Baukon_alle_A4_join[[#This Row],[Transportdistanz.Voreinstellung]]*Baukon_alle_A4_join[[#This Row],[Masse '[kg/m²'] Referenz]]</f>
        <v>3.1078302206796971E-2</v>
      </c>
      <c r="AA49" s="132">
        <f>_xlfn.XLOOKUP(Baukon_alle_A4_join[[#This Row],[Transport.Transport-Modus]],LeitRess_Materialien[Name],LeitRess_Materialien[WDP '[m³ weighted water/kg']])*Baukon_alle_A4_join[[#This Row],[Transportdistanz.Voreinstellung]]*Baukon_alle_A4_join[[#This Row],[Masse '[kg/m²'] min]]</f>
        <v>3.1078302206796971E-2</v>
      </c>
      <c r="AB49" s="132">
        <f>_xlfn.XLOOKUP(Baukon_alle_A4_join[[#This Row],[Transport.Transport-Modus]],LeitRess_Materialien[Name],LeitRess_Materialien[WDP '[m³ weighted water/kg']])*Baukon_alle_A4_join[[#This Row],[Transportdistanz.Voreinstellung]]*Baukon_alle_A4_join[[#This Row],[Masse '[kg/m²'] max]]</f>
        <v>3.1078302206796971E-2</v>
      </c>
      <c r="AC49"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7.6096035810782221E-5</v>
      </c>
      <c r="AD49"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7.6096035810782221E-5</v>
      </c>
      <c r="AE49"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7.6096035810782221E-5</v>
      </c>
    </row>
    <row r="50" spans="1:31" x14ac:dyDescent="0.45">
      <c r="A50" t="s">
        <v>110</v>
      </c>
      <c r="B50" t="s">
        <v>326</v>
      </c>
      <c r="C50" t="s">
        <v>303</v>
      </c>
      <c r="D50" t="s">
        <v>115</v>
      </c>
      <c r="E50" t="s">
        <v>335</v>
      </c>
      <c r="F50" t="s">
        <v>290</v>
      </c>
      <c r="G50">
        <v>6.08</v>
      </c>
      <c r="H50">
        <v>6.08</v>
      </c>
      <c r="I50">
        <v>6.08</v>
      </c>
      <c r="K50" t="s">
        <v>17</v>
      </c>
      <c r="L50" t="s">
        <v>305</v>
      </c>
      <c r="M50" t="s">
        <v>253</v>
      </c>
      <c r="N50" s="132">
        <f>_xlfn.XLOOKUP(Baukon_alle_A4_join[[#This Row],[Transport.Transport-Modus]],LeitRess_Materialien[Name],LeitRess_Materialien[RMI '[kg Primärrohstoffe / kg']])*Baukon_alle_A4_join[[#This Row],[Transportdistanz.Voreinstellung]]*Baukon_alle_A4_join[[#This Row],[Masse '[kg/m²'] Referenz]]</f>
        <v>5.3044437432697482E-2</v>
      </c>
      <c r="O50" s="132">
        <f>_xlfn.XLOOKUP(Baukon_alle_A4_join[[#This Row],[Transport.Transport-Modus]],LeitRess_Materialien[Name],LeitRess_Materialien[RMI '[kg Primärrohstoffe / kg']])*Baukon_alle_A4_join[[#This Row],[Transportdistanz.Voreinstellung]]*Baukon_alle_A4_join[[#This Row],[Masse '[kg/m²'] min]]</f>
        <v>5.3044437432697482E-2</v>
      </c>
      <c r="P50" s="132">
        <f>_xlfn.XLOOKUP(Baukon_alle_A4_join[[#This Row],[Transport.Transport-Modus]],LeitRess_Materialien[Name],LeitRess_Materialien[RMI '[kg Primärrohstoffe / kg']])*Baukon_alle_A4_join[[#This Row],[Transportdistanz.Voreinstellung]]*Baukon_alle_A4_join[[#This Row],[Masse '[kg/m²'] max]]</f>
        <v>5.3044437432697482E-2</v>
      </c>
      <c r="Q50" s="132">
        <f>_xlfn.XLOOKUP(Baukon_alle_A4_join[[#This Row],[Transport.Transport-Modus]],LeitRess_Materialien[Name],LeitRess_Materialien[TMR '[kg Gesamtmaterialaufwand/kg']])*Baukon_alle_A4_join[[#This Row],[Transportdistanz.Voreinstellung]]*Baukon_alle_A4_join[[#This Row],[Masse '[kg/m²'] Referenz]]</f>
        <v>6.322084833128562E-2</v>
      </c>
      <c r="R50" s="132">
        <f>_xlfn.XLOOKUP(Baukon_alle_A4_join[[#This Row],[Transport.Transport-Modus]],LeitRess_Materialien[Name],LeitRess_Materialien[TMR '[kg Gesamtmaterialaufwand/kg']])*Baukon_alle_A4_join[[#This Row],[Transportdistanz.Voreinstellung]]*Baukon_alle_A4_join[[#This Row],[Masse '[kg/m²'] min]]</f>
        <v>6.322084833128562E-2</v>
      </c>
      <c r="S50" s="132">
        <f>_xlfn.XLOOKUP(Baukon_alle_A4_join[[#This Row],[Transport.Transport-Modus]],LeitRess_Materialien[Name],LeitRess_Materialien[TMR '[kg Gesamtmaterialaufwand/kg']])*Baukon_alle_A4_join[[#This Row],[Transportdistanz.Voreinstellung]]*Baukon_alle_A4_join[[#This Row],[Masse '[kg/m²'] max]]</f>
        <v>6.322084833128562E-2</v>
      </c>
      <c r="T50" s="132">
        <f>_xlfn.XLOOKUP(Baukon_alle_A4_join[[#This Row],[Transport.Transport-Modus]],LeitRess_Materialien[Name],LeitRess_Materialien[GWP '[kg CO2-Äqu./kg']])*Baukon_alle_A4_join[[#This Row],[Transportdistanz.Voreinstellung]]*Baukon_alle_A4_join[[#This Row],[Masse '[kg/m²'] Referenz]]</f>
        <v>5.8848951721474155E-2</v>
      </c>
      <c r="U50" s="132">
        <f>_xlfn.XLOOKUP(Baukon_alle_A4_join[[#This Row],[Transport.Transport-Modus]],LeitRess_Materialien[Name],LeitRess_Materialien[GWP '[kg CO2-Äqu./kg']])*Baukon_alle_A4_join[[#This Row],[Transportdistanz.Voreinstellung]]*Baukon_alle_A4_join[[#This Row],[Masse '[kg/m²'] min]]</f>
        <v>5.8848951721474155E-2</v>
      </c>
      <c r="V50" s="132">
        <f>_xlfn.XLOOKUP(Baukon_alle_A4_join[[#This Row],[Transport.Transport-Modus]],LeitRess_Materialien[Name],LeitRess_Materialien[GWP '[kg CO2-Äqu./kg']])*Baukon_alle_A4_join[[#This Row],[Transportdistanz.Voreinstellung]]*Baukon_alle_A4_join[[#This Row],[Masse '[kg/m²'] max]]</f>
        <v>5.8848951721474155E-2</v>
      </c>
      <c r="W50" s="132">
        <f>_xlfn.XLOOKUP(Baukon_alle_A4_join[[#This Row],[Transport.Transport-Modus]],LeitRess_Materialien[Name],LeitRess_Materialien[PENRT '[MJ/kg']])*Baukon_alle_A4_join[[#This Row],[Transportdistanz.Voreinstellung]]*Baukon_alle_A4_join[[#This Row],[Masse '[kg/m²'] Referenz]]</f>
        <v>0.36717269203199998</v>
      </c>
      <c r="X50" s="132">
        <f>_xlfn.XLOOKUP(Baukon_alle_A4_join[[#This Row],[Transport.Transport-Modus]],LeitRess_Materialien[Name],LeitRess_Materialien[PENRT '[MJ/kg']])*Baukon_alle_A4_join[[#This Row],[Transportdistanz.Voreinstellung]]*Baukon_alle_A4_join[[#This Row],[Masse '[kg/m²'] min]]</f>
        <v>0.36717269203199998</v>
      </c>
      <c r="Y50" s="132">
        <f>_xlfn.XLOOKUP(Baukon_alle_A4_join[[#This Row],[Transport.Transport-Modus]],LeitRess_Materialien[Name],LeitRess_Materialien[PENRT '[MJ/kg']])*Baukon_alle_A4_join[[#This Row],[Transportdistanz.Voreinstellung]]*Baukon_alle_A4_join[[#This Row],[Masse '[kg/m²'] max]]</f>
        <v>0.36717269203199998</v>
      </c>
      <c r="Z50" s="132">
        <f>_xlfn.XLOOKUP(Baukon_alle_A4_join[[#This Row],[Transport.Transport-Modus]],LeitRess_Materialien[Name],LeitRess_Materialien[WDP '[m³ weighted water/kg']])*Baukon_alle_A4_join[[#This Row],[Transportdistanz.Voreinstellung]]*Baukon_alle_A4_join[[#This Row],[Masse '[kg/m²'] Referenz]]</f>
        <v>3.9931546368834657E-3</v>
      </c>
      <c r="AA50" s="132">
        <f>_xlfn.XLOOKUP(Baukon_alle_A4_join[[#This Row],[Transport.Transport-Modus]],LeitRess_Materialien[Name],LeitRess_Materialien[WDP '[m³ weighted water/kg']])*Baukon_alle_A4_join[[#This Row],[Transportdistanz.Voreinstellung]]*Baukon_alle_A4_join[[#This Row],[Masse '[kg/m²'] min]]</f>
        <v>3.9931546368834657E-3</v>
      </c>
      <c r="AB50" s="132">
        <f>_xlfn.XLOOKUP(Baukon_alle_A4_join[[#This Row],[Transport.Transport-Modus]],LeitRess_Materialien[Name],LeitRess_Materialien[WDP '[m³ weighted water/kg']])*Baukon_alle_A4_join[[#This Row],[Transportdistanz.Voreinstellung]]*Baukon_alle_A4_join[[#This Row],[Masse '[kg/m²'] max]]</f>
        <v>3.9931546368834657E-3</v>
      </c>
      <c r="AC50"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9.7773435699398961E-6</v>
      </c>
      <c r="AD50"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9.7773435699398961E-6</v>
      </c>
      <c r="AE50"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9.7773435699398961E-6</v>
      </c>
    </row>
    <row r="51" spans="1:31" x14ac:dyDescent="0.45">
      <c r="A51" t="s">
        <v>87</v>
      </c>
      <c r="B51" t="s">
        <v>292</v>
      </c>
      <c r="C51" t="s">
        <v>42</v>
      </c>
      <c r="D51" t="s">
        <v>105</v>
      </c>
      <c r="E51" t="s">
        <v>292</v>
      </c>
      <c r="F51" t="s">
        <v>292</v>
      </c>
      <c r="G51">
        <v>600</v>
      </c>
      <c r="H51">
        <v>600</v>
      </c>
      <c r="I51">
        <v>600</v>
      </c>
      <c r="K51" t="s">
        <v>17</v>
      </c>
      <c r="L51" t="s">
        <v>305</v>
      </c>
      <c r="M51" t="s">
        <v>253</v>
      </c>
      <c r="N51" s="132">
        <f>_xlfn.XLOOKUP(Baukon_alle_A4_join[[#This Row],[Transport.Transport-Modus]],LeitRess_Materialien[Name],LeitRess_Materialien[RMI '[kg Primärrohstoffe / kg']])*Baukon_alle_A4_join[[#This Row],[Transportdistanz.Voreinstellung]]*Baukon_alle_A4_join[[#This Row],[Masse '[kg/m²'] Referenz]]</f>
        <v>5.2346484308583046</v>
      </c>
      <c r="O51" s="132">
        <f>_xlfn.XLOOKUP(Baukon_alle_A4_join[[#This Row],[Transport.Transport-Modus]],LeitRess_Materialien[Name],LeitRess_Materialien[RMI '[kg Primärrohstoffe / kg']])*Baukon_alle_A4_join[[#This Row],[Transportdistanz.Voreinstellung]]*Baukon_alle_A4_join[[#This Row],[Masse '[kg/m²'] min]]</f>
        <v>5.2346484308583046</v>
      </c>
      <c r="P51" s="132">
        <f>_xlfn.XLOOKUP(Baukon_alle_A4_join[[#This Row],[Transport.Transport-Modus]],LeitRess_Materialien[Name],LeitRess_Materialien[RMI '[kg Primärrohstoffe / kg']])*Baukon_alle_A4_join[[#This Row],[Transportdistanz.Voreinstellung]]*Baukon_alle_A4_join[[#This Row],[Masse '[kg/m²'] max]]</f>
        <v>5.2346484308583046</v>
      </c>
      <c r="Q51" s="132">
        <f>_xlfn.XLOOKUP(Baukon_alle_A4_join[[#This Row],[Transport.Transport-Modus]],LeitRess_Materialien[Name],LeitRess_Materialien[TMR '[kg Gesamtmaterialaufwand/kg']])*Baukon_alle_A4_join[[#This Row],[Transportdistanz.Voreinstellung]]*Baukon_alle_A4_join[[#This Row],[Masse '[kg/m²'] Referenz]]</f>
        <v>6.2388995063768702</v>
      </c>
      <c r="R51" s="132">
        <f>_xlfn.XLOOKUP(Baukon_alle_A4_join[[#This Row],[Transport.Transport-Modus]],LeitRess_Materialien[Name],LeitRess_Materialien[TMR '[kg Gesamtmaterialaufwand/kg']])*Baukon_alle_A4_join[[#This Row],[Transportdistanz.Voreinstellung]]*Baukon_alle_A4_join[[#This Row],[Masse '[kg/m²'] min]]</f>
        <v>6.2388995063768702</v>
      </c>
      <c r="S51" s="132">
        <f>_xlfn.XLOOKUP(Baukon_alle_A4_join[[#This Row],[Transport.Transport-Modus]],LeitRess_Materialien[Name],LeitRess_Materialien[TMR '[kg Gesamtmaterialaufwand/kg']])*Baukon_alle_A4_join[[#This Row],[Transportdistanz.Voreinstellung]]*Baukon_alle_A4_join[[#This Row],[Masse '[kg/m²'] max]]</f>
        <v>6.2388995063768702</v>
      </c>
      <c r="T51" s="132">
        <f>_xlfn.XLOOKUP(Baukon_alle_A4_join[[#This Row],[Transport.Transport-Modus]],LeitRess_Materialien[Name],LeitRess_Materialien[GWP '[kg CO2-Äqu./kg']])*Baukon_alle_A4_join[[#This Row],[Transportdistanz.Voreinstellung]]*Baukon_alle_A4_join[[#This Row],[Masse '[kg/m²'] Referenz]]</f>
        <v>5.8074623409349497</v>
      </c>
      <c r="U51" s="132">
        <f>_xlfn.XLOOKUP(Baukon_alle_A4_join[[#This Row],[Transport.Transport-Modus]],LeitRess_Materialien[Name],LeitRess_Materialien[GWP '[kg CO2-Äqu./kg']])*Baukon_alle_A4_join[[#This Row],[Transportdistanz.Voreinstellung]]*Baukon_alle_A4_join[[#This Row],[Masse '[kg/m²'] min]]</f>
        <v>5.8074623409349497</v>
      </c>
      <c r="V51" s="132">
        <f>_xlfn.XLOOKUP(Baukon_alle_A4_join[[#This Row],[Transport.Transport-Modus]],LeitRess_Materialien[Name],LeitRess_Materialien[GWP '[kg CO2-Äqu./kg']])*Baukon_alle_A4_join[[#This Row],[Transportdistanz.Voreinstellung]]*Baukon_alle_A4_join[[#This Row],[Masse '[kg/m²'] max]]</f>
        <v>5.8074623409349497</v>
      </c>
      <c r="W51" s="132">
        <f>_xlfn.XLOOKUP(Baukon_alle_A4_join[[#This Row],[Transport.Transport-Modus]],LeitRess_Materialien[Name],LeitRess_Materialien[PENRT '[MJ/kg']])*Baukon_alle_A4_join[[#This Row],[Transportdistanz.Voreinstellung]]*Baukon_alle_A4_join[[#This Row],[Masse '[kg/m²'] Referenz]]</f>
        <v>36.234147239999999</v>
      </c>
      <c r="X51" s="132">
        <f>_xlfn.XLOOKUP(Baukon_alle_A4_join[[#This Row],[Transport.Transport-Modus]],LeitRess_Materialien[Name],LeitRess_Materialien[PENRT '[MJ/kg']])*Baukon_alle_A4_join[[#This Row],[Transportdistanz.Voreinstellung]]*Baukon_alle_A4_join[[#This Row],[Masse '[kg/m²'] min]]</f>
        <v>36.234147239999999</v>
      </c>
      <c r="Y51" s="132">
        <f>_xlfn.XLOOKUP(Baukon_alle_A4_join[[#This Row],[Transport.Transport-Modus]],LeitRess_Materialien[Name],LeitRess_Materialien[PENRT '[MJ/kg']])*Baukon_alle_A4_join[[#This Row],[Transportdistanz.Voreinstellung]]*Baukon_alle_A4_join[[#This Row],[Masse '[kg/m²'] max]]</f>
        <v>36.234147239999999</v>
      </c>
      <c r="Z51" s="132">
        <f>_xlfn.XLOOKUP(Baukon_alle_A4_join[[#This Row],[Transport.Transport-Modus]],LeitRess_Materialien[Name],LeitRess_Materialien[WDP '[m³ weighted water/kg']])*Baukon_alle_A4_join[[#This Row],[Transportdistanz.Voreinstellung]]*Baukon_alle_A4_join[[#This Row],[Masse '[kg/m²'] Referenz]]</f>
        <v>0.39406131285034196</v>
      </c>
      <c r="AA51" s="132">
        <f>_xlfn.XLOOKUP(Baukon_alle_A4_join[[#This Row],[Transport.Transport-Modus]],LeitRess_Materialien[Name],LeitRess_Materialien[WDP '[m³ weighted water/kg']])*Baukon_alle_A4_join[[#This Row],[Transportdistanz.Voreinstellung]]*Baukon_alle_A4_join[[#This Row],[Masse '[kg/m²'] min]]</f>
        <v>0.39406131285034196</v>
      </c>
      <c r="AB51" s="132">
        <f>_xlfn.XLOOKUP(Baukon_alle_A4_join[[#This Row],[Transport.Transport-Modus]],LeitRess_Materialien[Name],LeitRess_Materialien[WDP '[m³ weighted water/kg']])*Baukon_alle_A4_join[[#This Row],[Transportdistanz.Voreinstellung]]*Baukon_alle_A4_join[[#This Row],[Masse '[kg/m²'] max]]</f>
        <v>0.39406131285034196</v>
      </c>
      <c r="AC51"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9.6486943124406881E-4</v>
      </c>
      <c r="AD51"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9.6486943124406881E-4</v>
      </c>
      <c r="AE51"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9.6486943124406881E-4</v>
      </c>
    </row>
    <row r="52" spans="1:31" x14ac:dyDescent="0.45">
      <c r="A52" t="s">
        <v>87</v>
      </c>
      <c r="B52" t="s">
        <v>336</v>
      </c>
      <c r="C52" t="s">
        <v>10</v>
      </c>
      <c r="D52" t="s">
        <v>89</v>
      </c>
      <c r="E52" t="s">
        <v>294</v>
      </c>
      <c r="F52" t="s">
        <v>294</v>
      </c>
      <c r="G52">
        <v>27.5</v>
      </c>
      <c r="H52">
        <v>27.5</v>
      </c>
      <c r="I52">
        <v>27.5</v>
      </c>
      <c r="K52" t="s">
        <v>17</v>
      </c>
      <c r="L52" t="s">
        <v>305</v>
      </c>
      <c r="M52" t="s">
        <v>253</v>
      </c>
      <c r="N52" s="132">
        <f>_xlfn.XLOOKUP(Baukon_alle_A4_join[[#This Row],[Transport.Transport-Modus]],LeitRess_Materialien[Name],LeitRess_Materialien[RMI '[kg Primärrohstoffe / kg']])*Baukon_alle_A4_join[[#This Row],[Transportdistanz.Voreinstellung]]*Baukon_alle_A4_join[[#This Row],[Masse '[kg/m²'] Referenz]]</f>
        <v>0.23992138641433894</v>
      </c>
      <c r="O52" s="132">
        <f>_xlfn.XLOOKUP(Baukon_alle_A4_join[[#This Row],[Transport.Transport-Modus]],LeitRess_Materialien[Name],LeitRess_Materialien[RMI '[kg Primärrohstoffe / kg']])*Baukon_alle_A4_join[[#This Row],[Transportdistanz.Voreinstellung]]*Baukon_alle_A4_join[[#This Row],[Masse '[kg/m²'] min]]</f>
        <v>0.23992138641433894</v>
      </c>
      <c r="P52" s="132">
        <f>_xlfn.XLOOKUP(Baukon_alle_A4_join[[#This Row],[Transport.Transport-Modus]],LeitRess_Materialien[Name],LeitRess_Materialien[RMI '[kg Primärrohstoffe / kg']])*Baukon_alle_A4_join[[#This Row],[Transportdistanz.Voreinstellung]]*Baukon_alle_A4_join[[#This Row],[Masse '[kg/m²'] max]]</f>
        <v>0.23992138641433894</v>
      </c>
      <c r="Q52" s="132">
        <f>_xlfn.XLOOKUP(Baukon_alle_A4_join[[#This Row],[Transport.Transport-Modus]],LeitRess_Materialien[Name],LeitRess_Materialien[TMR '[kg Gesamtmaterialaufwand/kg']])*Baukon_alle_A4_join[[#This Row],[Transportdistanz.Voreinstellung]]*Baukon_alle_A4_join[[#This Row],[Masse '[kg/m²'] Referenz]]</f>
        <v>0.2859495607089399</v>
      </c>
      <c r="R52" s="132">
        <f>_xlfn.XLOOKUP(Baukon_alle_A4_join[[#This Row],[Transport.Transport-Modus]],LeitRess_Materialien[Name],LeitRess_Materialien[TMR '[kg Gesamtmaterialaufwand/kg']])*Baukon_alle_A4_join[[#This Row],[Transportdistanz.Voreinstellung]]*Baukon_alle_A4_join[[#This Row],[Masse '[kg/m²'] min]]</f>
        <v>0.2859495607089399</v>
      </c>
      <c r="S52" s="132">
        <f>_xlfn.XLOOKUP(Baukon_alle_A4_join[[#This Row],[Transport.Transport-Modus]],LeitRess_Materialien[Name],LeitRess_Materialien[TMR '[kg Gesamtmaterialaufwand/kg']])*Baukon_alle_A4_join[[#This Row],[Transportdistanz.Voreinstellung]]*Baukon_alle_A4_join[[#This Row],[Masse '[kg/m²'] max]]</f>
        <v>0.2859495607089399</v>
      </c>
      <c r="T52" s="132">
        <f>_xlfn.XLOOKUP(Baukon_alle_A4_join[[#This Row],[Transport.Transport-Modus]],LeitRess_Materialien[Name],LeitRess_Materialien[GWP '[kg CO2-Äqu./kg']])*Baukon_alle_A4_join[[#This Row],[Transportdistanz.Voreinstellung]]*Baukon_alle_A4_join[[#This Row],[Masse '[kg/m²'] Referenz]]</f>
        <v>0.26617535729285186</v>
      </c>
      <c r="U52" s="132">
        <f>_xlfn.XLOOKUP(Baukon_alle_A4_join[[#This Row],[Transport.Transport-Modus]],LeitRess_Materialien[Name],LeitRess_Materialien[GWP '[kg CO2-Äqu./kg']])*Baukon_alle_A4_join[[#This Row],[Transportdistanz.Voreinstellung]]*Baukon_alle_A4_join[[#This Row],[Masse '[kg/m²'] min]]</f>
        <v>0.26617535729285186</v>
      </c>
      <c r="V52" s="132">
        <f>_xlfn.XLOOKUP(Baukon_alle_A4_join[[#This Row],[Transport.Transport-Modus]],LeitRess_Materialien[Name],LeitRess_Materialien[GWP '[kg CO2-Äqu./kg']])*Baukon_alle_A4_join[[#This Row],[Transportdistanz.Voreinstellung]]*Baukon_alle_A4_join[[#This Row],[Masse '[kg/m²'] max]]</f>
        <v>0.26617535729285186</v>
      </c>
      <c r="W52" s="132">
        <f>_xlfn.XLOOKUP(Baukon_alle_A4_join[[#This Row],[Transport.Transport-Modus]],LeitRess_Materialien[Name],LeitRess_Materialien[PENRT '[MJ/kg']])*Baukon_alle_A4_join[[#This Row],[Transportdistanz.Voreinstellung]]*Baukon_alle_A4_join[[#This Row],[Masse '[kg/m²'] Referenz]]</f>
        <v>1.6607317484999997</v>
      </c>
      <c r="X52" s="132">
        <f>_xlfn.XLOOKUP(Baukon_alle_A4_join[[#This Row],[Transport.Transport-Modus]],LeitRess_Materialien[Name],LeitRess_Materialien[PENRT '[MJ/kg']])*Baukon_alle_A4_join[[#This Row],[Transportdistanz.Voreinstellung]]*Baukon_alle_A4_join[[#This Row],[Masse '[kg/m²'] min]]</f>
        <v>1.6607317484999997</v>
      </c>
      <c r="Y52" s="132">
        <f>_xlfn.XLOOKUP(Baukon_alle_A4_join[[#This Row],[Transport.Transport-Modus]],LeitRess_Materialien[Name],LeitRess_Materialien[PENRT '[MJ/kg']])*Baukon_alle_A4_join[[#This Row],[Transportdistanz.Voreinstellung]]*Baukon_alle_A4_join[[#This Row],[Masse '[kg/m²'] max]]</f>
        <v>1.6607317484999997</v>
      </c>
      <c r="Z52" s="132">
        <f>_xlfn.XLOOKUP(Baukon_alle_A4_join[[#This Row],[Transport.Transport-Modus]],LeitRess_Materialien[Name],LeitRess_Materialien[WDP '[m³ weighted water/kg']])*Baukon_alle_A4_join[[#This Row],[Transportdistanz.Voreinstellung]]*Baukon_alle_A4_join[[#This Row],[Masse '[kg/m²'] Referenz]]</f>
        <v>1.8061143505640673E-2</v>
      </c>
      <c r="AA52" s="132">
        <f>_xlfn.XLOOKUP(Baukon_alle_A4_join[[#This Row],[Transport.Transport-Modus]],LeitRess_Materialien[Name],LeitRess_Materialien[WDP '[m³ weighted water/kg']])*Baukon_alle_A4_join[[#This Row],[Transportdistanz.Voreinstellung]]*Baukon_alle_A4_join[[#This Row],[Masse '[kg/m²'] min]]</f>
        <v>1.8061143505640673E-2</v>
      </c>
      <c r="AB52" s="132">
        <f>_xlfn.XLOOKUP(Baukon_alle_A4_join[[#This Row],[Transport.Transport-Modus]],LeitRess_Materialien[Name],LeitRess_Materialien[WDP '[m³ weighted water/kg']])*Baukon_alle_A4_join[[#This Row],[Transportdistanz.Voreinstellung]]*Baukon_alle_A4_join[[#This Row],[Masse '[kg/m²'] max]]</f>
        <v>1.8061143505640673E-2</v>
      </c>
      <c r="AC52"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4.422318226535314E-5</v>
      </c>
      <c r="AD52"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4.422318226535314E-5</v>
      </c>
      <c r="AE52"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4.422318226535314E-5</v>
      </c>
    </row>
    <row r="53" spans="1:31" x14ac:dyDescent="0.45">
      <c r="A53" t="s">
        <v>110</v>
      </c>
      <c r="B53" t="s">
        <v>326</v>
      </c>
      <c r="C53" t="s">
        <v>303</v>
      </c>
      <c r="D53" t="s">
        <v>115</v>
      </c>
      <c r="E53" t="s">
        <v>335</v>
      </c>
      <c r="F53" t="s">
        <v>290</v>
      </c>
      <c r="G53">
        <v>3</v>
      </c>
      <c r="H53">
        <v>3</v>
      </c>
      <c r="I53">
        <v>3</v>
      </c>
      <c r="K53" t="s">
        <v>17</v>
      </c>
      <c r="L53" t="s">
        <v>305</v>
      </c>
      <c r="M53" t="s">
        <v>253</v>
      </c>
      <c r="N53" s="132">
        <f>_xlfn.XLOOKUP(Baukon_alle_A4_join[[#This Row],[Transport.Transport-Modus]],LeitRess_Materialien[Name],LeitRess_Materialien[RMI '[kg Primärrohstoffe / kg']])*Baukon_alle_A4_join[[#This Row],[Transportdistanz.Voreinstellung]]*Baukon_alle_A4_join[[#This Row],[Masse '[kg/m²'] Referenz]]</f>
        <v>2.6173242154291523E-2</v>
      </c>
      <c r="O53" s="132">
        <f>_xlfn.XLOOKUP(Baukon_alle_A4_join[[#This Row],[Transport.Transport-Modus]],LeitRess_Materialien[Name],LeitRess_Materialien[RMI '[kg Primärrohstoffe / kg']])*Baukon_alle_A4_join[[#This Row],[Transportdistanz.Voreinstellung]]*Baukon_alle_A4_join[[#This Row],[Masse '[kg/m²'] min]]</f>
        <v>2.6173242154291523E-2</v>
      </c>
      <c r="P53" s="132">
        <f>_xlfn.XLOOKUP(Baukon_alle_A4_join[[#This Row],[Transport.Transport-Modus]],LeitRess_Materialien[Name],LeitRess_Materialien[RMI '[kg Primärrohstoffe / kg']])*Baukon_alle_A4_join[[#This Row],[Transportdistanz.Voreinstellung]]*Baukon_alle_A4_join[[#This Row],[Masse '[kg/m²'] max]]</f>
        <v>2.6173242154291523E-2</v>
      </c>
      <c r="Q53" s="132">
        <f>_xlfn.XLOOKUP(Baukon_alle_A4_join[[#This Row],[Transport.Transport-Modus]],LeitRess_Materialien[Name],LeitRess_Materialien[TMR '[kg Gesamtmaterialaufwand/kg']])*Baukon_alle_A4_join[[#This Row],[Transportdistanz.Voreinstellung]]*Baukon_alle_A4_join[[#This Row],[Masse '[kg/m²'] Referenz]]</f>
        <v>3.1194497531884351E-2</v>
      </c>
      <c r="R53" s="132">
        <f>_xlfn.XLOOKUP(Baukon_alle_A4_join[[#This Row],[Transport.Transport-Modus]],LeitRess_Materialien[Name],LeitRess_Materialien[TMR '[kg Gesamtmaterialaufwand/kg']])*Baukon_alle_A4_join[[#This Row],[Transportdistanz.Voreinstellung]]*Baukon_alle_A4_join[[#This Row],[Masse '[kg/m²'] min]]</f>
        <v>3.1194497531884351E-2</v>
      </c>
      <c r="S53" s="132">
        <f>_xlfn.XLOOKUP(Baukon_alle_A4_join[[#This Row],[Transport.Transport-Modus]],LeitRess_Materialien[Name],LeitRess_Materialien[TMR '[kg Gesamtmaterialaufwand/kg']])*Baukon_alle_A4_join[[#This Row],[Transportdistanz.Voreinstellung]]*Baukon_alle_A4_join[[#This Row],[Masse '[kg/m²'] max]]</f>
        <v>3.1194497531884351E-2</v>
      </c>
      <c r="T53" s="132">
        <f>_xlfn.XLOOKUP(Baukon_alle_A4_join[[#This Row],[Transport.Transport-Modus]],LeitRess_Materialien[Name],LeitRess_Materialien[GWP '[kg CO2-Äqu./kg']])*Baukon_alle_A4_join[[#This Row],[Transportdistanz.Voreinstellung]]*Baukon_alle_A4_join[[#This Row],[Masse '[kg/m²'] Referenz]]</f>
        <v>2.9037311704674749E-2</v>
      </c>
      <c r="U53" s="132">
        <f>_xlfn.XLOOKUP(Baukon_alle_A4_join[[#This Row],[Transport.Transport-Modus]],LeitRess_Materialien[Name],LeitRess_Materialien[GWP '[kg CO2-Äqu./kg']])*Baukon_alle_A4_join[[#This Row],[Transportdistanz.Voreinstellung]]*Baukon_alle_A4_join[[#This Row],[Masse '[kg/m²'] min]]</f>
        <v>2.9037311704674749E-2</v>
      </c>
      <c r="V53" s="132">
        <f>_xlfn.XLOOKUP(Baukon_alle_A4_join[[#This Row],[Transport.Transport-Modus]],LeitRess_Materialien[Name],LeitRess_Materialien[GWP '[kg CO2-Äqu./kg']])*Baukon_alle_A4_join[[#This Row],[Transportdistanz.Voreinstellung]]*Baukon_alle_A4_join[[#This Row],[Masse '[kg/m²'] max]]</f>
        <v>2.9037311704674749E-2</v>
      </c>
      <c r="W53" s="132">
        <f>_xlfn.XLOOKUP(Baukon_alle_A4_join[[#This Row],[Transport.Transport-Modus]],LeitRess_Materialien[Name],LeitRess_Materialien[PENRT '[MJ/kg']])*Baukon_alle_A4_join[[#This Row],[Transportdistanz.Voreinstellung]]*Baukon_alle_A4_join[[#This Row],[Masse '[kg/m²'] Referenz]]</f>
        <v>0.18117073619999999</v>
      </c>
      <c r="X53" s="132">
        <f>_xlfn.XLOOKUP(Baukon_alle_A4_join[[#This Row],[Transport.Transport-Modus]],LeitRess_Materialien[Name],LeitRess_Materialien[PENRT '[MJ/kg']])*Baukon_alle_A4_join[[#This Row],[Transportdistanz.Voreinstellung]]*Baukon_alle_A4_join[[#This Row],[Masse '[kg/m²'] min]]</f>
        <v>0.18117073619999999</v>
      </c>
      <c r="Y53" s="132">
        <f>_xlfn.XLOOKUP(Baukon_alle_A4_join[[#This Row],[Transport.Transport-Modus]],LeitRess_Materialien[Name],LeitRess_Materialien[PENRT '[MJ/kg']])*Baukon_alle_A4_join[[#This Row],[Transportdistanz.Voreinstellung]]*Baukon_alle_A4_join[[#This Row],[Masse '[kg/m²'] max]]</f>
        <v>0.18117073619999999</v>
      </c>
      <c r="Z53" s="132">
        <f>_xlfn.XLOOKUP(Baukon_alle_A4_join[[#This Row],[Transport.Transport-Modus]],LeitRess_Materialien[Name],LeitRess_Materialien[WDP '[m³ weighted water/kg']])*Baukon_alle_A4_join[[#This Row],[Transportdistanz.Voreinstellung]]*Baukon_alle_A4_join[[#This Row],[Masse '[kg/m²'] Referenz]]</f>
        <v>1.9703065642517098E-3</v>
      </c>
      <c r="AA53" s="132">
        <f>_xlfn.XLOOKUP(Baukon_alle_A4_join[[#This Row],[Transport.Transport-Modus]],LeitRess_Materialien[Name],LeitRess_Materialien[WDP '[m³ weighted water/kg']])*Baukon_alle_A4_join[[#This Row],[Transportdistanz.Voreinstellung]]*Baukon_alle_A4_join[[#This Row],[Masse '[kg/m²'] min]]</f>
        <v>1.9703065642517098E-3</v>
      </c>
      <c r="AB53" s="132">
        <f>_xlfn.XLOOKUP(Baukon_alle_A4_join[[#This Row],[Transport.Transport-Modus]],LeitRess_Materialien[Name],LeitRess_Materialien[WDP '[m³ weighted water/kg']])*Baukon_alle_A4_join[[#This Row],[Transportdistanz.Voreinstellung]]*Baukon_alle_A4_join[[#This Row],[Masse '[kg/m²'] max]]</f>
        <v>1.9703065642517098E-3</v>
      </c>
      <c r="AC53"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4.8243471562203438E-6</v>
      </c>
      <c r="AD53"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4.8243471562203438E-6</v>
      </c>
      <c r="AE53"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4.8243471562203438E-6</v>
      </c>
    </row>
    <row r="54" spans="1:31" x14ac:dyDescent="0.45">
      <c r="A54" t="s">
        <v>110</v>
      </c>
      <c r="B54" t="s">
        <v>326</v>
      </c>
      <c r="C54" t="s">
        <v>303</v>
      </c>
      <c r="D54" t="s">
        <v>115</v>
      </c>
      <c r="E54" t="s">
        <v>337</v>
      </c>
      <c r="F54" t="s">
        <v>270</v>
      </c>
      <c r="G54">
        <v>4.4800000000000004</v>
      </c>
      <c r="H54">
        <v>3.2</v>
      </c>
      <c r="I54">
        <v>7.04</v>
      </c>
      <c r="K54" t="s">
        <v>17</v>
      </c>
      <c r="L54" t="s">
        <v>305</v>
      </c>
      <c r="M54" t="s">
        <v>253</v>
      </c>
      <c r="N54" s="132">
        <f>_xlfn.XLOOKUP(Baukon_alle_A4_join[[#This Row],[Transport.Transport-Modus]],LeitRess_Materialien[Name],LeitRess_Materialien[RMI '[kg Primärrohstoffe / kg']])*Baukon_alle_A4_join[[#This Row],[Transportdistanz.Voreinstellung]]*Baukon_alle_A4_join[[#This Row],[Masse '[kg/m²'] Referenz]]</f>
        <v>3.9085374950408674E-2</v>
      </c>
      <c r="O54" s="132">
        <f>_xlfn.XLOOKUP(Baukon_alle_A4_join[[#This Row],[Transport.Transport-Modus]],LeitRess_Materialien[Name],LeitRess_Materialien[RMI '[kg Primärrohstoffe / kg']])*Baukon_alle_A4_join[[#This Row],[Transportdistanz.Voreinstellung]]*Baukon_alle_A4_join[[#This Row],[Masse '[kg/m²'] min]]</f>
        <v>2.7918124964577625E-2</v>
      </c>
      <c r="P54" s="132">
        <f>_xlfn.XLOOKUP(Baukon_alle_A4_join[[#This Row],[Transport.Transport-Modus]],LeitRess_Materialien[Name],LeitRess_Materialien[RMI '[kg Primärrohstoffe / kg']])*Baukon_alle_A4_join[[#This Row],[Transportdistanz.Voreinstellung]]*Baukon_alle_A4_join[[#This Row],[Masse '[kg/m²'] max]]</f>
        <v>6.1419874922070773E-2</v>
      </c>
      <c r="Q54" s="132">
        <f>_xlfn.XLOOKUP(Baukon_alle_A4_join[[#This Row],[Transport.Transport-Modus]],LeitRess_Materialien[Name],LeitRess_Materialien[TMR '[kg Gesamtmaterialaufwand/kg']])*Baukon_alle_A4_join[[#This Row],[Transportdistanz.Voreinstellung]]*Baukon_alle_A4_join[[#This Row],[Masse '[kg/m²'] Referenz]]</f>
        <v>4.65837829809473E-2</v>
      </c>
      <c r="R54" s="132">
        <f>_xlfn.XLOOKUP(Baukon_alle_A4_join[[#This Row],[Transport.Transport-Modus]],LeitRess_Materialien[Name],LeitRess_Materialien[TMR '[kg Gesamtmaterialaufwand/kg']])*Baukon_alle_A4_join[[#This Row],[Transportdistanz.Voreinstellung]]*Baukon_alle_A4_join[[#This Row],[Masse '[kg/m²'] min]]</f>
        <v>3.3274130700676641E-2</v>
      </c>
      <c r="S54" s="132">
        <f>_xlfn.XLOOKUP(Baukon_alle_A4_join[[#This Row],[Transport.Transport-Modus]],LeitRess_Materialien[Name],LeitRess_Materialien[TMR '[kg Gesamtmaterialaufwand/kg']])*Baukon_alle_A4_join[[#This Row],[Transportdistanz.Voreinstellung]]*Baukon_alle_A4_join[[#This Row],[Masse '[kg/m²'] max]]</f>
        <v>7.3203087541488604E-2</v>
      </c>
      <c r="T54" s="132">
        <f>_xlfn.XLOOKUP(Baukon_alle_A4_join[[#This Row],[Transport.Transport-Modus]],LeitRess_Materialien[Name],LeitRess_Materialien[GWP '[kg CO2-Äqu./kg']])*Baukon_alle_A4_join[[#This Row],[Transportdistanz.Voreinstellung]]*Baukon_alle_A4_join[[#This Row],[Masse '[kg/m²'] Referenz]]</f>
        <v>4.3362385478980962E-2</v>
      </c>
      <c r="U54" s="132">
        <f>_xlfn.XLOOKUP(Baukon_alle_A4_join[[#This Row],[Transport.Transport-Modus]],LeitRess_Materialien[Name],LeitRess_Materialien[GWP '[kg CO2-Äqu./kg']])*Baukon_alle_A4_join[[#This Row],[Transportdistanz.Voreinstellung]]*Baukon_alle_A4_join[[#This Row],[Masse '[kg/m²'] min]]</f>
        <v>3.0973132484986399E-2</v>
      </c>
      <c r="V54" s="132">
        <f>_xlfn.XLOOKUP(Baukon_alle_A4_join[[#This Row],[Transport.Transport-Modus]],LeitRess_Materialien[Name],LeitRess_Materialien[GWP '[kg CO2-Äqu./kg']])*Baukon_alle_A4_join[[#This Row],[Transportdistanz.Voreinstellung]]*Baukon_alle_A4_join[[#This Row],[Masse '[kg/m²'] max]]</f>
        <v>6.8140891466970083E-2</v>
      </c>
      <c r="W54" s="132">
        <f>_xlfn.XLOOKUP(Baukon_alle_A4_join[[#This Row],[Transport.Transport-Modus]],LeitRess_Materialien[Name],LeitRess_Materialien[PENRT '[MJ/kg']])*Baukon_alle_A4_join[[#This Row],[Transportdistanz.Voreinstellung]]*Baukon_alle_A4_join[[#This Row],[Masse '[kg/m²'] Referenz]]</f>
        <v>0.27054829939199998</v>
      </c>
      <c r="X54" s="132">
        <f>_xlfn.XLOOKUP(Baukon_alle_A4_join[[#This Row],[Transport.Transport-Modus]],LeitRess_Materialien[Name],LeitRess_Materialien[PENRT '[MJ/kg']])*Baukon_alle_A4_join[[#This Row],[Transportdistanz.Voreinstellung]]*Baukon_alle_A4_join[[#This Row],[Masse '[kg/m²'] min]]</f>
        <v>0.19324878528</v>
      </c>
      <c r="Y54" s="132">
        <f>_xlfn.XLOOKUP(Baukon_alle_A4_join[[#This Row],[Transport.Transport-Modus]],LeitRess_Materialien[Name],LeitRess_Materialien[PENRT '[MJ/kg']])*Baukon_alle_A4_join[[#This Row],[Transportdistanz.Voreinstellung]]*Baukon_alle_A4_join[[#This Row],[Masse '[kg/m²'] max]]</f>
        <v>0.42514732761599994</v>
      </c>
      <c r="Z54" s="132">
        <f>_xlfn.XLOOKUP(Baukon_alle_A4_join[[#This Row],[Transport.Transport-Modus]],LeitRess_Materialien[Name],LeitRess_Materialien[WDP '[m³ weighted water/kg']])*Baukon_alle_A4_join[[#This Row],[Transportdistanz.Voreinstellung]]*Baukon_alle_A4_join[[#This Row],[Masse '[kg/m²'] Referenz]]</f>
        <v>2.9423244692825539E-3</v>
      </c>
      <c r="AA54" s="132">
        <f>_xlfn.XLOOKUP(Baukon_alle_A4_join[[#This Row],[Transport.Transport-Modus]],LeitRess_Materialien[Name],LeitRess_Materialien[WDP '[m³ weighted water/kg']])*Baukon_alle_A4_join[[#This Row],[Transportdistanz.Voreinstellung]]*Baukon_alle_A4_join[[#This Row],[Masse '[kg/m²'] min]]</f>
        <v>2.1016603352018242E-3</v>
      </c>
      <c r="AB54" s="132">
        <f>_xlfn.XLOOKUP(Baukon_alle_A4_join[[#This Row],[Transport.Transport-Modus]],LeitRess_Materialien[Name],LeitRess_Materialien[WDP '[m³ weighted water/kg']])*Baukon_alle_A4_join[[#This Row],[Transportdistanz.Voreinstellung]]*Baukon_alle_A4_join[[#This Row],[Masse '[kg/m²'] max]]</f>
        <v>4.6236527374440128E-3</v>
      </c>
      <c r="AC54"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7.2043584199557124E-6</v>
      </c>
      <c r="AD54"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5.1459702999683665E-6</v>
      </c>
      <c r="AE54"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1.1321134659930405E-5</v>
      </c>
    </row>
    <row r="55" spans="1:31" x14ac:dyDescent="0.45">
      <c r="A55" t="s">
        <v>110</v>
      </c>
      <c r="B55" t="s">
        <v>326</v>
      </c>
      <c r="C55" t="s">
        <v>303</v>
      </c>
      <c r="D55" t="s">
        <v>115</v>
      </c>
      <c r="E55" t="s">
        <v>338</v>
      </c>
      <c r="F55" t="s">
        <v>262</v>
      </c>
      <c r="G55">
        <v>14.75</v>
      </c>
      <c r="H55">
        <v>14.75</v>
      </c>
      <c r="I55">
        <v>14.75</v>
      </c>
      <c r="K55" t="s">
        <v>17</v>
      </c>
      <c r="L55" t="s">
        <v>305</v>
      </c>
      <c r="M55" t="s">
        <v>253</v>
      </c>
      <c r="N55" s="132">
        <f>_xlfn.XLOOKUP(Baukon_alle_A4_join[[#This Row],[Transport.Transport-Modus]],LeitRess_Materialien[Name],LeitRess_Materialien[RMI '[kg Primärrohstoffe / kg']])*Baukon_alle_A4_join[[#This Row],[Transportdistanz.Voreinstellung]]*Baukon_alle_A4_join[[#This Row],[Masse '[kg/m²'] Referenz]]</f>
        <v>0.12868510725859997</v>
      </c>
      <c r="O55" s="132">
        <f>_xlfn.XLOOKUP(Baukon_alle_A4_join[[#This Row],[Transport.Transport-Modus]],LeitRess_Materialien[Name],LeitRess_Materialien[RMI '[kg Primärrohstoffe / kg']])*Baukon_alle_A4_join[[#This Row],[Transportdistanz.Voreinstellung]]*Baukon_alle_A4_join[[#This Row],[Masse '[kg/m²'] min]]</f>
        <v>0.12868510725859997</v>
      </c>
      <c r="P55" s="132">
        <f>_xlfn.XLOOKUP(Baukon_alle_A4_join[[#This Row],[Transport.Transport-Modus]],LeitRess_Materialien[Name],LeitRess_Materialien[RMI '[kg Primärrohstoffe / kg']])*Baukon_alle_A4_join[[#This Row],[Transportdistanz.Voreinstellung]]*Baukon_alle_A4_join[[#This Row],[Masse '[kg/m²'] max]]</f>
        <v>0.12868510725859997</v>
      </c>
      <c r="Q55" s="132">
        <f>_xlfn.XLOOKUP(Baukon_alle_A4_join[[#This Row],[Transport.Transport-Modus]],LeitRess_Materialien[Name],LeitRess_Materialien[TMR '[kg Gesamtmaterialaufwand/kg']])*Baukon_alle_A4_join[[#This Row],[Transportdistanz.Voreinstellung]]*Baukon_alle_A4_join[[#This Row],[Masse '[kg/m²'] Referenz]]</f>
        <v>0.15337294619843139</v>
      </c>
      <c r="R55" s="132">
        <f>_xlfn.XLOOKUP(Baukon_alle_A4_join[[#This Row],[Transport.Transport-Modus]],LeitRess_Materialien[Name],LeitRess_Materialien[TMR '[kg Gesamtmaterialaufwand/kg']])*Baukon_alle_A4_join[[#This Row],[Transportdistanz.Voreinstellung]]*Baukon_alle_A4_join[[#This Row],[Masse '[kg/m²'] min]]</f>
        <v>0.15337294619843139</v>
      </c>
      <c r="S55" s="132">
        <f>_xlfn.XLOOKUP(Baukon_alle_A4_join[[#This Row],[Transport.Transport-Modus]],LeitRess_Materialien[Name],LeitRess_Materialien[TMR '[kg Gesamtmaterialaufwand/kg']])*Baukon_alle_A4_join[[#This Row],[Transportdistanz.Voreinstellung]]*Baukon_alle_A4_join[[#This Row],[Masse '[kg/m²'] max]]</f>
        <v>0.15337294619843139</v>
      </c>
      <c r="T55" s="132">
        <f>_xlfn.XLOOKUP(Baukon_alle_A4_join[[#This Row],[Transport.Transport-Modus]],LeitRess_Materialien[Name],LeitRess_Materialien[GWP '[kg CO2-Äqu./kg']])*Baukon_alle_A4_join[[#This Row],[Transportdistanz.Voreinstellung]]*Baukon_alle_A4_join[[#This Row],[Masse '[kg/m²'] Referenz]]</f>
        <v>0.14276678254798419</v>
      </c>
      <c r="U55" s="132">
        <f>_xlfn.XLOOKUP(Baukon_alle_A4_join[[#This Row],[Transport.Transport-Modus]],LeitRess_Materialien[Name],LeitRess_Materialien[GWP '[kg CO2-Äqu./kg']])*Baukon_alle_A4_join[[#This Row],[Transportdistanz.Voreinstellung]]*Baukon_alle_A4_join[[#This Row],[Masse '[kg/m²'] min]]</f>
        <v>0.14276678254798419</v>
      </c>
      <c r="V55" s="132">
        <f>_xlfn.XLOOKUP(Baukon_alle_A4_join[[#This Row],[Transport.Transport-Modus]],LeitRess_Materialien[Name],LeitRess_Materialien[GWP '[kg CO2-Äqu./kg']])*Baukon_alle_A4_join[[#This Row],[Transportdistanz.Voreinstellung]]*Baukon_alle_A4_join[[#This Row],[Masse '[kg/m²'] max]]</f>
        <v>0.14276678254798419</v>
      </c>
      <c r="W55" s="132">
        <f>_xlfn.XLOOKUP(Baukon_alle_A4_join[[#This Row],[Transport.Transport-Modus]],LeitRess_Materialien[Name],LeitRess_Materialien[PENRT '[MJ/kg']])*Baukon_alle_A4_join[[#This Row],[Transportdistanz.Voreinstellung]]*Baukon_alle_A4_join[[#This Row],[Masse '[kg/m²'] Referenz]]</f>
        <v>0.8907561196499999</v>
      </c>
      <c r="X55" s="132">
        <f>_xlfn.XLOOKUP(Baukon_alle_A4_join[[#This Row],[Transport.Transport-Modus]],LeitRess_Materialien[Name],LeitRess_Materialien[PENRT '[MJ/kg']])*Baukon_alle_A4_join[[#This Row],[Transportdistanz.Voreinstellung]]*Baukon_alle_A4_join[[#This Row],[Masse '[kg/m²'] min]]</f>
        <v>0.8907561196499999</v>
      </c>
      <c r="Y55" s="132">
        <f>_xlfn.XLOOKUP(Baukon_alle_A4_join[[#This Row],[Transport.Transport-Modus]],LeitRess_Materialien[Name],LeitRess_Materialien[PENRT '[MJ/kg']])*Baukon_alle_A4_join[[#This Row],[Transportdistanz.Voreinstellung]]*Baukon_alle_A4_join[[#This Row],[Masse '[kg/m²'] max]]</f>
        <v>0.8907561196499999</v>
      </c>
      <c r="Z55" s="132">
        <f>_xlfn.XLOOKUP(Baukon_alle_A4_join[[#This Row],[Transport.Transport-Modus]],LeitRess_Materialien[Name],LeitRess_Materialien[WDP '[m³ weighted water/kg']])*Baukon_alle_A4_join[[#This Row],[Transportdistanz.Voreinstellung]]*Baukon_alle_A4_join[[#This Row],[Masse '[kg/m²'] Referenz]]</f>
        <v>9.6873406075709077E-3</v>
      </c>
      <c r="AA55" s="132">
        <f>_xlfn.XLOOKUP(Baukon_alle_A4_join[[#This Row],[Transport.Transport-Modus]],LeitRess_Materialien[Name],LeitRess_Materialien[WDP '[m³ weighted water/kg']])*Baukon_alle_A4_join[[#This Row],[Transportdistanz.Voreinstellung]]*Baukon_alle_A4_join[[#This Row],[Masse '[kg/m²'] min]]</f>
        <v>9.6873406075709077E-3</v>
      </c>
      <c r="AB55" s="132">
        <f>_xlfn.XLOOKUP(Baukon_alle_A4_join[[#This Row],[Transport.Transport-Modus]],LeitRess_Materialien[Name],LeitRess_Materialien[WDP '[m³ weighted water/kg']])*Baukon_alle_A4_join[[#This Row],[Transportdistanz.Voreinstellung]]*Baukon_alle_A4_join[[#This Row],[Masse '[kg/m²'] max]]</f>
        <v>9.6873406075709077E-3</v>
      </c>
      <c r="AC55"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2.3719706851416687E-5</v>
      </c>
      <c r="AD55"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2.3719706851416687E-5</v>
      </c>
      <c r="AE55"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2.3719706851416687E-5</v>
      </c>
    </row>
    <row r="56" spans="1:31" x14ac:dyDescent="0.45">
      <c r="A56" t="s">
        <v>110</v>
      </c>
      <c r="B56" t="s">
        <v>339</v>
      </c>
      <c r="C56" t="s">
        <v>309</v>
      </c>
      <c r="D56" t="s">
        <v>114</v>
      </c>
      <c r="E56" t="s">
        <v>340</v>
      </c>
      <c r="F56" t="s">
        <v>281</v>
      </c>
      <c r="G56">
        <v>3</v>
      </c>
      <c r="H56">
        <v>3</v>
      </c>
      <c r="I56">
        <v>3</v>
      </c>
      <c r="K56" t="s">
        <v>17</v>
      </c>
      <c r="L56" t="s">
        <v>305</v>
      </c>
      <c r="M56" t="s">
        <v>253</v>
      </c>
      <c r="N56" s="132">
        <f>_xlfn.XLOOKUP(Baukon_alle_A4_join[[#This Row],[Transport.Transport-Modus]],LeitRess_Materialien[Name],LeitRess_Materialien[RMI '[kg Primärrohstoffe / kg']])*Baukon_alle_A4_join[[#This Row],[Transportdistanz.Voreinstellung]]*Baukon_alle_A4_join[[#This Row],[Masse '[kg/m²'] Referenz]]</f>
        <v>2.6173242154291523E-2</v>
      </c>
      <c r="O56" s="132">
        <f>_xlfn.XLOOKUP(Baukon_alle_A4_join[[#This Row],[Transport.Transport-Modus]],LeitRess_Materialien[Name],LeitRess_Materialien[RMI '[kg Primärrohstoffe / kg']])*Baukon_alle_A4_join[[#This Row],[Transportdistanz.Voreinstellung]]*Baukon_alle_A4_join[[#This Row],[Masse '[kg/m²'] min]]</f>
        <v>2.6173242154291523E-2</v>
      </c>
      <c r="P56" s="132">
        <f>_xlfn.XLOOKUP(Baukon_alle_A4_join[[#This Row],[Transport.Transport-Modus]],LeitRess_Materialien[Name],LeitRess_Materialien[RMI '[kg Primärrohstoffe / kg']])*Baukon_alle_A4_join[[#This Row],[Transportdistanz.Voreinstellung]]*Baukon_alle_A4_join[[#This Row],[Masse '[kg/m²'] max]]</f>
        <v>2.6173242154291523E-2</v>
      </c>
      <c r="Q56" s="132">
        <f>_xlfn.XLOOKUP(Baukon_alle_A4_join[[#This Row],[Transport.Transport-Modus]],LeitRess_Materialien[Name],LeitRess_Materialien[TMR '[kg Gesamtmaterialaufwand/kg']])*Baukon_alle_A4_join[[#This Row],[Transportdistanz.Voreinstellung]]*Baukon_alle_A4_join[[#This Row],[Masse '[kg/m²'] Referenz]]</f>
        <v>3.1194497531884351E-2</v>
      </c>
      <c r="R56" s="132">
        <f>_xlfn.XLOOKUP(Baukon_alle_A4_join[[#This Row],[Transport.Transport-Modus]],LeitRess_Materialien[Name],LeitRess_Materialien[TMR '[kg Gesamtmaterialaufwand/kg']])*Baukon_alle_A4_join[[#This Row],[Transportdistanz.Voreinstellung]]*Baukon_alle_A4_join[[#This Row],[Masse '[kg/m²'] min]]</f>
        <v>3.1194497531884351E-2</v>
      </c>
      <c r="S56" s="132">
        <f>_xlfn.XLOOKUP(Baukon_alle_A4_join[[#This Row],[Transport.Transport-Modus]],LeitRess_Materialien[Name],LeitRess_Materialien[TMR '[kg Gesamtmaterialaufwand/kg']])*Baukon_alle_A4_join[[#This Row],[Transportdistanz.Voreinstellung]]*Baukon_alle_A4_join[[#This Row],[Masse '[kg/m²'] max]]</f>
        <v>3.1194497531884351E-2</v>
      </c>
      <c r="T56" s="132">
        <f>_xlfn.XLOOKUP(Baukon_alle_A4_join[[#This Row],[Transport.Transport-Modus]],LeitRess_Materialien[Name],LeitRess_Materialien[GWP '[kg CO2-Äqu./kg']])*Baukon_alle_A4_join[[#This Row],[Transportdistanz.Voreinstellung]]*Baukon_alle_A4_join[[#This Row],[Masse '[kg/m²'] Referenz]]</f>
        <v>2.9037311704674749E-2</v>
      </c>
      <c r="U56" s="132">
        <f>_xlfn.XLOOKUP(Baukon_alle_A4_join[[#This Row],[Transport.Transport-Modus]],LeitRess_Materialien[Name],LeitRess_Materialien[GWP '[kg CO2-Äqu./kg']])*Baukon_alle_A4_join[[#This Row],[Transportdistanz.Voreinstellung]]*Baukon_alle_A4_join[[#This Row],[Masse '[kg/m²'] min]]</f>
        <v>2.9037311704674749E-2</v>
      </c>
      <c r="V56" s="132">
        <f>_xlfn.XLOOKUP(Baukon_alle_A4_join[[#This Row],[Transport.Transport-Modus]],LeitRess_Materialien[Name],LeitRess_Materialien[GWP '[kg CO2-Äqu./kg']])*Baukon_alle_A4_join[[#This Row],[Transportdistanz.Voreinstellung]]*Baukon_alle_A4_join[[#This Row],[Masse '[kg/m²'] max]]</f>
        <v>2.9037311704674749E-2</v>
      </c>
      <c r="W56" s="132">
        <f>_xlfn.XLOOKUP(Baukon_alle_A4_join[[#This Row],[Transport.Transport-Modus]],LeitRess_Materialien[Name],LeitRess_Materialien[PENRT '[MJ/kg']])*Baukon_alle_A4_join[[#This Row],[Transportdistanz.Voreinstellung]]*Baukon_alle_A4_join[[#This Row],[Masse '[kg/m²'] Referenz]]</f>
        <v>0.18117073619999999</v>
      </c>
      <c r="X56" s="132">
        <f>_xlfn.XLOOKUP(Baukon_alle_A4_join[[#This Row],[Transport.Transport-Modus]],LeitRess_Materialien[Name],LeitRess_Materialien[PENRT '[MJ/kg']])*Baukon_alle_A4_join[[#This Row],[Transportdistanz.Voreinstellung]]*Baukon_alle_A4_join[[#This Row],[Masse '[kg/m²'] min]]</f>
        <v>0.18117073619999999</v>
      </c>
      <c r="Y56" s="132">
        <f>_xlfn.XLOOKUP(Baukon_alle_A4_join[[#This Row],[Transport.Transport-Modus]],LeitRess_Materialien[Name],LeitRess_Materialien[PENRT '[MJ/kg']])*Baukon_alle_A4_join[[#This Row],[Transportdistanz.Voreinstellung]]*Baukon_alle_A4_join[[#This Row],[Masse '[kg/m²'] max]]</f>
        <v>0.18117073619999999</v>
      </c>
      <c r="Z56" s="132">
        <f>_xlfn.XLOOKUP(Baukon_alle_A4_join[[#This Row],[Transport.Transport-Modus]],LeitRess_Materialien[Name],LeitRess_Materialien[WDP '[m³ weighted water/kg']])*Baukon_alle_A4_join[[#This Row],[Transportdistanz.Voreinstellung]]*Baukon_alle_A4_join[[#This Row],[Masse '[kg/m²'] Referenz]]</f>
        <v>1.9703065642517098E-3</v>
      </c>
      <c r="AA56" s="132">
        <f>_xlfn.XLOOKUP(Baukon_alle_A4_join[[#This Row],[Transport.Transport-Modus]],LeitRess_Materialien[Name],LeitRess_Materialien[WDP '[m³ weighted water/kg']])*Baukon_alle_A4_join[[#This Row],[Transportdistanz.Voreinstellung]]*Baukon_alle_A4_join[[#This Row],[Masse '[kg/m²'] min]]</f>
        <v>1.9703065642517098E-3</v>
      </c>
      <c r="AB56" s="132">
        <f>_xlfn.XLOOKUP(Baukon_alle_A4_join[[#This Row],[Transport.Transport-Modus]],LeitRess_Materialien[Name],LeitRess_Materialien[WDP '[m³ weighted water/kg']])*Baukon_alle_A4_join[[#This Row],[Transportdistanz.Voreinstellung]]*Baukon_alle_A4_join[[#This Row],[Masse '[kg/m²'] max]]</f>
        <v>1.9703065642517098E-3</v>
      </c>
      <c r="AC56"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4.8243471562203438E-6</v>
      </c>
      <c r="AD56"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4.8243471562203438E-6</v>
      </c>
      <c r="AE56"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4.8243471562203438E-6</v>
      </c>
    </row>
    <row r="57" spans="1:31" x14ac:dyDescent="0.45">
      <c r="A57" t="s">
        <v>110</v>
      </c>
      <c r="B57" t="s">
        <v>339</v>
      </c>
      <c r="C57" t="s">
        <v>309</v>
      </c>
      <c r="D57" t="s">
        <v>114</v>
      </c>
      <c r="E57" t="s">
        <v>321</v>
      </c>
      <c r="F57" t="s">
        <v>256</v>
      </c>
      <c r="G57">
        <v>132</v>
      </c>
      <c r="H57">
        <v>132</v>
      </c>
      <c r="I57">
        <v>132</v>
      </c>
      <c r="K57" t="s">
        <v>17</v>
      </c>
      <c r="L57" t="s">
        <v>305</v>
      </c>
      <c r="M57" t="s">
        <v>253</v>
      </c>
      <c r="N57" s="132">
        <f>_xlfn.XLOOKUP(Baukon_alle_A4_join[[#This Row],[Transport.Transport-Modus]],LeitRess_Materialien[Name],LeitRess_Materialien[RMI '[kg Primärrohstoffe / kg']])*Baukon_alle_A4_join[[#This Row],[Transportdistanz.Voreinstellung]]*Baukon_alle_A4_join[[#This Row],[Masse '[kg/m²'] Referenz]]</f>
        <v>1.1516226547888269</v>
      </c>
      <c r="O57" s="132">
        <f>_xlfn.XLOOKUP(Baukon_alle_A4_join[[#This Row],[Transport.Transport-Modus]],LeitRess_Materialien[Name],LeitRess_Materialien[RMI '[kg Primärrohstoffe / kg']])*Baukon_alle_A4_join[[#This Row],[Transportdistanz.Voreinstellung]]*Baukon_alle_A4_join[[#This Row],[Masse '[kg/m²'] min]]</f>
        <v>1.1516226547888269</v>
      </c>
      <c r="P57" s="132">
        <f>_xlfn.XLOOKUP(Baukon_alle_A4_join[[#This Row],[Transport.Transport-Modus]],LeitRess_Materialien[Name],LeitRess_Materialien[RMI '[kg Primärrohstoffe / kg']])*Baukon_alle_A4_join[[#This Row],[Transportdistanz.Voreinstellung]]*Baukon_alle_A4_join[[#This Row],[Masse '[kg/m²'] max]]</f>
        <v>1.1516226547888269</v>
      </c>
      <c r="Q57" s="132">
        <f>_xlfn.XLOOKUP(Baukon_alle_A4_join[[#This Row],[Transport.Transport-Modus]],LeitRess_Materialien[Name],LeitRess_Materialien[TMR '[kg Gesamtmaterialaufwand/kg']])*Baukon_alle_A4_join[[#This Row],[Transportdistanz.Voreinstellung]]*Baukon_alle_A4_join[[#This Row],[Masse '[kg/m²'] Referenz]]</f>
        <v>1.3725578914029115</v>
      </c>
      <c r="R57" s="132">
        <f>_xlfn.XLOOKUP(Baukon_alle_A4_join[[#This Row],[Transport.Transport-Modus]],LeitRess_Materialien[Name],LeitRess_Materialien[TMR '[kg Gesamtmaterialaufwand/kg']])*Baukon_alle_A4_join[[#This Row],[Transportdistanz.Voreinstellung]]*Baukon_alle_A4_join[[#This Row],[Masse '[kg/m²'] min]]</f>
        <v>1.3725578914029115</v>
      </c>
      <c r="S57" s="132">
        <f>_xlfn.XLOOKUP(Baukon_alle_A4_join[[#This Row],[Transport.Transport-Modus]],LeitRess_Materialien[Name],LeitRess_Materialien[TMR '[kg Gesamtmaterialaufwand/kg']])*Baukon_alle_A4_join[[#This Row],[Transportdistanz.Voreinstellung]]*Baukon_alle_A4_join[[#This Row],[Masse '[kg/m²'] max]]</f>
        <v>1.3725578914029115</v>
      </c>
      <c r="T57" s="132">
        <f>_xlfn.XLOOKUP(Baukon_alle_A4_join[[#This Row],[Transport.Transport-Modus]],LeitRess_Materialien[Name],LeitRess_Materialien[GWP '[kg CO2-Äqu./kg']])*Baukon_alle_A4_join[[#This Row],[Transportdistanz.Voreinstellung]]*Baukon_alle_A4_join[[#This Row],[Masse '[kg/m²'] Referenz]]</f>
        <v>1.2776417150056889</v>
      </c>
      <c r="U57" s="132">
        <f>_xlfn.XLOOKUP(Baukon_alle_A4_join[[#This Row],[Transport.Transport-Modus]],LeitRess_Materialien[Name],LeitRess_Materialien[GWP '[kg CO2-Äqu./kg']])*Baukon_alle_A4_join[[#This Row],[Transportdistanz.Voreinstellung]]*Baukon_alle_A4_join[[#This Row],[Masse '[kg/m²'] min]]</f>
        <v>1.2776417150056889</v>
      </c>
      <c r="V57" s="132">
        <f>_xlfn.XLOOKUP(Baukon_alle_A4_join[[#This Row],[Transport.Transport-Modus]],LeitRess_Materialien[Name],LeitRess_Materialien[GWP '[kg CO2-Äqu./kg']])*Baukon_alle_A4_join[[#This Row],[Transportdistanz.Voreinstellung]]*Baukon_alle_A4_join[[#This Row],[Masse '[kg/m²'] max]]</f>
        <v>1.2776417150056889</v>
      </c>
      <c r="W57" s="132">
        <f>_xlfn.XLOOKUP(Baukon_alle_A4_join[[#This Row],[Transport.Transport-Modus]],LeitRess_Materialien[Name],LeitRess_Materialien[PENRT '[MJ/kg']])*Baukon_alle_A4_join[[#This Row],[Transportdistanz.Voreinstellung]]*Baukon_alle_A4_join[[#This Row],[Masse '[kg/m²'] Referenz]]</f>
        <v>7.9715123927999993</v>
      </c>
      <c r="X57" s="132">
        <f>_xlfn.XLOOKUP(Baukon_alle_A4_join[[#This Row],[Transport.Transport-Modus]],LeitRess_Materialien[Name],LeitRess_Materialien[PENRT '[MJ/kg']])*Baukon_alle_A4_join[[#This Row],[Transportdistanz.Voreinstellung]]*Baukon_alle_A4_join[[#This Row],[Masse '[kg/m²'] min]]</f>
        <v>7.9715123927999993</v>
      </c>
      <c r="Y57" s="132">
        <f>_xlfn.XLOOKUP(Baukon_alle_A4_join[[#This Row],[Transport.Transport-Modus]],LeitRess_Materialien[Name],LeitRess_Materialien[PENRT '[MJ/kg']])*Baukon_alle_A4_join[[#This Row],[Transportdistanz.Voreinstellung]]*Baukon_alle_A4_join[[#This Row],[Masse '[kg/m²'] max]]</f>
        <v>7.9715123927999993</v>
      </c>
      <c r="Z57" s="132">
        <f>_xlfn.XLOOKUP(Baukon_alle_A4_join[[#This Row],[Transport.Transport-Modus]],LeitRess_Materialien[Name],LeitRess_Materialien[WDP '[m³ weighted water/kg']])*Baukon_alle_A4_join[[#This Row],[Transportdistanz.Voreinstellung]]*Baukon_alle_A4_join[[#This Row],[Masse '[kg/m²'] Referenz]]</f>
        <v>8.6693488827075241E-2</v>
      </c>
      <c r="AA57" s="132">
        <f>_xlfn.XLOOKUP(Baukon_alle_A4_join[[#This Row],[Transport.Transport-Modus]],LeitRess_Materialien[Name],LeitRess_Materialien[WDP '[m³ weighted water/kg']])*Baukon_alle_A4_join[[#This Row],[Transportdistanz.Voreinstellung]]*Baukon_alle_A4_join[[#This Row],[Masse '[kg/m²'] min]]</f>
        <v>8.6693488827075241E-2</v>
      </c>
      <c r="AB57" s="132">
        <f>_xlfn.XLOOKUP(Baukon_alle_A4_join[[#This Row],[Transport.Transport-Modus]],LeitRess_Materialien[Name],LeitRess_Materialien[WDP '[m³ weighted water/kg']])*Baukon_alle_A4_join[[#This Row],[Transportdistanz.Voreinstellung]]*Baukon_alle_A4_join[[#This Row],[Masse '[kg/m²'] max]]</f>
        <v>8.6693488827075241E-2</v>
      </c>
      <c r="AC57"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2.1227127487369511E-4</v>
      </c>
      <c r="AD57"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2.1227127487369511E-4</v>
      </c>
      <c r="AE57"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2.1227127487369511E-4</v>
      </c>
    </row>
    <row r="58" spans="1:31" x14ac:dyDescent="0.45">
      <c r="A58" t="s">
        <v>110</v>
      </c>
      <c r="B58" t="s">
        <v>339</v>
      </c>
      <c r="C58" t="s">
        <v>309</v>
      </c>
      <c r="D58" t="s">
        <v>114</v>
      </c>
      <c r="E58" t="s">
        <v>341</v>
      </c>
      <c r="F58" t="s">
        <v>269</v>
      </c>
      <c r="G58">
        <v>2</v>
      </c>
      <c r="H58">
        <v>1</v>
      </c>
      <c r="I58">
        <v>4</v>
      </c>
      <c r="K58" t="s">
        <v>17</v>
      </c>
      <c r="L58" t="s">
        <v>305</v>
      </c>
      <c r="M58" t="s">
        <v>253</v>
      </c>
      <c r="N58" s="132">
        <f>_xlfn.XLOOKUP(Baukon_alle_A4_join[[#This Row],[Transport.Transport-Modus]],LeitRess_Materialien[Name],LeitRess_Materialien[RMI '[kg Primärrohstoffe / kg']])*Baukon_alle_A4_join[[#This Row],[Transportdistanz.Voreinstellung]]*Baukon_alle_A4_join[[#This Row],[Masse '[kg/m²'] Referenz]]</f>
        <v>1.7448828102861014E-2</v>
      </c>
      <c r="O58" s="132">
        <f>_xlfn.XLOOKUP(Baukon_alle_A4_join[[#This Row],[Transport.Transport-Modus]],LeitRess_Materialien[Name],LeitRess_Materialien[RMI '[kg Primärrohstoffe / kg']])*Baukon_alle_A4_join[[#This Row],[Transportdistanz.Voreinstellung]]*Baukon_alle_A4_join[[#This Row],[Masse '[kg/m²'] min]]</f>
        <v>8.7244140514305072E-3</v>
      </c>
      <c r="P58" s="132">
        <f>_xlfn.XLOOKUP(Baukon_alle_A4_join[[#This Row],[Transport.Transport-Modus]],LeitRess_Materialien[Name],LeitRess_Materialien[RMI '[kg Primärrohstoffe / kg']])*Baukon_alle_A4_join[[#This Row],[Transportdistanz.Voreinstellung]]*Baukon_alle_A4_join[[#This Row],[Masse '[kg/m²'] max]]</f>
        <v>3.4897656205722029E-2</v>
      </c>
      <c r="Q58" s="132">
        <f>_xlfn.XLOOKUP(Baukon_alle_A4_join[[#This Row],[Transport.Transport-Modus]],LeitRess_Materialien[Name],LeitRess_Materialien[TMR '[kg Gesamtmaterialaufwand/kg']])*Baukon_alle_A4_join[[#This Row],[Transportdistanz.Voreinstellung]]*Baukon_alle_A4_join[[#This Row],[Masse '[kg/m²'] Referenz]]</f>
        <v>2.07963316879229E-2</v>
      </c>
      <c r="R58" s="132">
        <f>_xlfn.XLOOKUP(Baukon_alle_A4_join[[#This Row],[Transport.Transport-Modus]],LeitRess_Materialien[Name],LeitRess_Materialien[TMR '[kg Gesamtmaterialaufwand/kg']])*Baukon_alle_A4_join[[#This Row],[Transportdistanz.Voreinstellung]]*Baukon_alle_A4_join[[#This Row],[Masse '[kg/m²'] min]]</f>
        <v>1.039816584396145E-2</v>
      </c>
      <c r="S58" s="132">
        <f>_xlfn.XLOOKUP(Baukon_alle_A4_join[[#This Row],[Transport.Transport-Modus]],LeitRess_Materialien[Name],LeitRess_Materialien[TMR '[kg Gesamtmaterialaufwand/kg']])*Baukon_alle_A4_join[[#This Row],[Transportdistanz.Voreinstellung]]*Baukon_alle_A4_join[[#This Row],[Masse '[kg/m²'] max]]</f>
        <v>4.1592663375845801E-2</v>
      </c>
      <c r="T58" s="132">
        <f>_xlfn.XLOOKUP(Baukon_alle_A4_join[[#This Row],[Transport.Transport-Modus]],LeitRess_Materialien[Name],LeitRess_Materialien[GWP '[kg CO2-Äqu./kg']])*Baukon_alle_A4_join[[#This Row],[Transportdistanz.Voreinstellung]]*Baukon_alle_A4_join[[#This Row],[Masse '[kg/m²'] Referenz]]</f>
        <v>1.9358207803116499E-2</v>
      </c>
      <c r="U58" s="132">
        <f>_xlfn.XLOOKUP(Baukon_alle_A4_join[[#This Row],[Transport.Transport-Modus]],LeitRess_Materialien[Name],LeitRess_Materialien[GWP '[kg CO2-Äqu./kg']])*Baukon_alle_A4_join[[#This Row],[Transportdistanz.Voreinstellung]]*Baukon_alle_A4_join[[#This Row],[Masse '[kg/m²'] min]]</f>
        <v>9.6791039015582496E-3</v>
      </c>
      <c r="V58" s="132">
        <f>_xlfn.XLOOKUP(Baukon_alle_A4_join[[#This Row],[Transport.Transport-Modus]],LeitRess_Materialien[Name],LeitRess_Materialien[GWP '[kg CO2-Äqu./kg']])*Baukon_alle_A4_join[[#This Row],[Transportdistanz.Voreinstellung]]*Baukon_alle_A4_join[[#This Row],[Masse '[kg/m²'] max]]</f>
        <v>3.8716415606232998E-2</v>
      </c>
      <c r="W58" s="132">
        <f>_xlfn.XLOOKUP(Baukon_alle_A4_join[[#This Row],[Transport.Transport-Modus]],LeitRess_Materialien[Name],LeitRess_Materialien[PENRT '[MJ/kg']])*Baukon_alle_A4_join[[#This Row],[Transportdistanz.Voreinstellung]]*Baukon_alle_A4_join[[#This Row],[Masse '[kg/m²'] Referenz]]</f>
        <v>0.12078049079999999</v>
      </c>
      <c r="X58" s="132">
        <f>_xlfn.XLOOKUP(Baukon_alle_A4_join[[#This Row],[Transport.Transport-Modus]],LeitRess_Materialien[Name],LeitRess_Materialien[PENRT '[MJ/kg']])*Baukon_alle_A4_join[[#This Row],[Transportdistanz.Voreinstellung]]*Baukon_alle_A4_join[[#This Row],[Masse '[kg/m²'] min]]</f>
        <v>6.0390245399999994E-2</v>
      </c>
      <c r="Y58" s="132">
        <f>_xlfn.XLOOKUP(Baukon_alle_A4_join[[#This Row],[Transport.Transport-Modus]],LeitRess_Materialien[Name],LeitRess_Materialien[PENRT '[MJ/kg']])*Baukon_alle_A4_join[[#This Row],[Transportdistanz.Voreinstellung]]*Baukon_alle_A4_join[[#This Row],[Masse '[kg/m²'] max]]</f>
        <v>0.24156098159999997</v>
      </c>
      <c r="Z58" s="132">
        <f>_xlfn.XLOOKUP(Baukon_alle_A4_join[[#This Row],[Transport.Transport-Modus]],LeitRess_Materialien[Name],LeitRess_Materialien[WDP '[m³ weighted water/kg']])*Baukon_alle_A4_join[[#This Row],[Transportdistanz.Voreinstellung]]*Baukon_alle_A4_join[[#This Row],[Masse '[kg/m²'] Referenz]]</f>
        <v>1.31353770950114E-3</v>
      </c>
      <c r="AA58" s="132">
        <f>_xlfn.XLOOKUP(Baukon_alle_A4_join[[#This Row],[Transport.Transport-Modus]],LeitRess_Materialien[Name],LeitRess_Materialien[WDP '[m³ weighted water/kg']])*Baukon_alle_A4_join[[#This Row],[Transportdistanz.Voreinstellung]]*Baukon_alle_A4_join[[#This Row],[Masse '[kg/m²'] min]]</f>
        <v>6.5676885475056998E-4</v>
      </c>
      <c r="AB58" s="132">
        <f>_xlfn.XLOOKUP(Baukon_alle_A4_join[[#This Row],[Transport.Transport-Modus]],LeitRess_Materialien[Name],LeitRess_Materialien[WDP '[m³ weighted water/kg']])*Baukon_alle_A4_join[[#This Row],[Transportdistanz.Voreinstellung]]*Baukon_alle_A4_join[[#This Row],[Masse '[kg/m²'] max]]</f>
        <v>2.6270754190022799E-3</v>
      </c>
      <c r="AC58"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3.2162314374802285E-6</v>
      </c>
      <c r="AD58"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1.6081157187401143E-6</v>
      </c>
      <c r="AE58"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6.4324628749604571E-6</v>
      </c>
    </row>
    <row r="59" spans="1:31" x14ac:dyDescent="0.45">
      <c r="A59" t="s">
        <v>110</v>
      </c>
      <c r="B59" t="s">
        <v>339</v>
      </c>
      <c r="C59" t="s">
        <v>309</v>
      </c>
      <c r="D59" t="s">
        <v>114</v>
      </c>
      <c r="E59" t="s">
        <v>319</v>
      </c>
      <c r="F59" t="s">
        <v>282</v>
      </c>
      <c r="G59">
        <v>0.28000000000000003</v>
      </c>
      <c r="H59">
        <v>0.28000000000000003</v>
      </c>
      <c r="I59">
        <v>0.28000000000000003</v>
      </c>
      <c r="K59" t="s">
        <v>17</v>
      </c>
      <c r="L59" t="s">
        <v>305</v>
      </c>
      <c r="M59" t="s">
        <v>253</v>
      </c>
      <c r="N59" s="132">
        <f>_xlfn.XLOOKUP(Baukon_alle_A4_join[[#This Row],[Transport.Transport-Modus]],LeitRess_Materialien[Name],LeitRess_Materialien[RMI '[kg Primärrohstoffe / kg']])*Baukon_alle_A4_join[[#This Row],[Transportdistanz.Voreinstellung]]*Baukon_alle_A4_join[[#This Row],[Masse '[kg/m²'] Referenz]]</f>
        <v>2.4428359344005422E-3</v>
      </c>
      <c r="O59" s="132">
        <f>_xlfn.XLOOKUP(Baukon_alle_A4_join[[#This Row],[Transport.Transport-Modus]],LeitRess_Materialien[Name],LeitRess_Materialien[RMI '[kg Primärrohstoffe / kg']])*Baukon_alle_A4_join[[#This Row],[Transportdistanz.Voreinstellung]]*Baukon_alle_A4_join[[#This Row],[Masse '[kg/m²'] min]]</f>
        <v>2.4428359344005422E-3</v>
      </c>
      <c r="P59" s="132">
        <f>_xlfn.XLOOKUP(Baukon_alle_A4_join[[#This Row],[Transport.Transport-Modus]],LeitRess_Materialien[Name],LeitRess_Materialien[RMI '[kg Primärrohstoffe / kg']])*Baukon_alle_A4_join[[#This Row],[Transportdistanz.Voreinstellung]]*Baukon_alle_A4_join[[#This Row],[Masse '[kg/m²'] max]]</f>
        <v>2.4428359344005422E-3</v>
      </c>
      <c r="Q59" s="132">
        <f>_xlfn.XLOOKUP(Baukon_alle_A4_join[[#This Row],[Transport.Transport-Modus]],LeitRess_Materialien[Name],LeitRess_Materialien[TMR '[kg Gesamtmaterialaufwand/kg']])*Baukon_alle_A4_join[[#This Row],[Transportdistanz.Voreinstellung]]*Baukon_alle_A4_join[[#This Row],[Masse '[kg/m²'] Referenz]]</f>
        <v>2.9114864363092062E-3</v>
      </c>
      <c r="R59" s="132">
        <f>_xlfn.XLOOKUP(Baukon_alle_A4_join[[#This Row],[Transport.Transport-Modus]],LeitRess_Materialien[Name],LeitRess_Materialien[TMR '[kg Gesamtmaterialaufwand/kg']])*Baukon_alle_A4_join[[#This Row],[Transportdistanz.Voreinstellung]]*Baukon_alle_A4_join[[#This Row],[Masse '[kg/m²'] min]]</f>
        <v>2.9114864363092062E-3</v>
      </c>
      <c r="S59" s="132">
        <f>_xlfn.XLOOKUP(Baukon_alle_A4_join[[#This Row],[Transport.Transport-Modus]],LeitRess_Materialien[Name],LeitRess_Materialien[TMR '[kg Gesamtmaterialaufwand/kg']])*Baukon_alle_A4_join[[#This Row],[Transportdistanz.Voreinstellung]]*Baukon_alle_A4_join[[#This Row],[Masse '[kg/m²'] max]]</f>
        <v>2.9114864363092062E-3</v>
      </c>
      <c r="T59" s="132">
        <f>_xlfn.XLOOKUP(Baukon_alle_A4_join[[#This Row],[Transport.Transport-Modus]],LeitRess_Materialien[Name],LeitRess_Materialien[GWP '[kg CO2-Äqu./kg']])*Baukon_alle_A4_join[[#This Row],[Transportdistanz.Voreinstellung]]*Baukon_alle_A4_join[[#This Row],[Masse '[kg/m²'] Referenz]]</f>
        <v>2.7101490924363101E-3</v>
      </c>
      <c r="U59" s="132">
        <f>_xlfn.XLOOKUP(Baukon_alle_A4_join[[#This Row],[Transport.Transport-Modus]],LeitRess_Materialien[Name],LeitRess_Materialien[GWP '[kg CO2-Äqu./kg']])*Baukon_alle_A4_join[[#This Row],[Transportdistanz.Voreinstellung]]*Baukon_alle_A4_join[[#This Row],[Masse '[kg/m²'] min]]</f>
        <v>2.7101490924363101E-3</v>
      </c>
      <c r="V59" s="132">
        <f>_xlfn.XLOOKUP(Baukon_alle_A4_join[[#This Row],[Transport.Transport-Modus]],LeitRess_Materialien[Name],LeitRess_Materialien[GWP '[kg CO2-Äqu./kg']])*Baukon_alle_A4_join[[#This Row],[Transportdistanz.Voreinstellung]]*Baukon_alle_A4_join[[#This Row],[Masse '[kg/m²'] max]]</f>
        <v>2.7101490924363101E-3</v>
      </c>
      <c r="W59" s="132">
        <f>_xlfn.XLOOKUP(Baukon_alle_A4_join[[#This Row],[Transport.Transport-Modus]],LeitRess_Materialien[Name],LeitRess_Materialien[PENRT '[MJ/kg']])*Baukon_alle_A4_join[[#This Row],[Transportdistanz.Voreinstellung]]*Baukon_alle_A4_join[[#This Row],[Masse '[kg/m²'] Referenz]]</f>
        <v>1.6909268711999999E-2</v>
      </c>
      <c r="X59" s="132">
        <f>_xlfn.XLOOKUP(Baukon_alle_A4_join[[#This Row],[Transport.Transport-Modus]],LeitRess_Materialien[Name],LeitRess_Materialien[PENRT '[MJ/kg']])*Baukon_alle_A4_join[[#This Row],[Transportdistanz.Voreinstellung]]*Baukon_alle_A4_join[[#This Row],[Masse '[kg/m²'] min]]</f>
        <v>1.6909268711999999E-2</v>
      </c>
      <c r="Y59" s="132">
        <f>_xlfn.XLOOKUP(Baukon_alle_A4_join[[#This Row],[Transport.Transport-Modus]],LeitRess_Materialien[Name],LeitRess_Materialien[PENRT '[MJ/kg']])*Baukon_alle_A4_join[[#This Row],[Transportdistanz.Voreinstellung]]*Baukon_alle_A4_join[[#This Row],[Masse '[kg/m²'] max]]</f>
        <v>1.6909268711999999E-2</v>
      </c>
      <c r="Z59" s="132">
        <f>_xlfn.XLOOKUP(Baukon_alle_A4_join[[#This Row],[Transport.Transport-Modus]],LeitRess_Materialien[Name],LeitRess_Materialien[WDP '[m³ weighted water/kg']])*Baukon_alle_A4_join[[#This Row],[Transportdistanz.Voreinstellung]]*Baukon_alle_A4_join[[#This Row],[Masse '[kg/m²'] Referenz]]</f>
        <v>1.8389527933015962E-4</v>
      </c>
      <c r="AA59" s="132">
        <f>_xlfn.XLOOKUP(Baukon_alle_A4_join[[#This Row],[Transport.Transport-Modus]],LeitRess_Materialien[Name],LeitRess_Materialien[WDP '[m³ weighted water/kg']])*Baukon_alle_A4_join[[#This Row],[Transportdistanz.Voreinstellung]]*Baukon_alle_A4_join[[#This Row],[Masse '[kg/m²'] min]]</f>
        <v>1.8389527933015962E-4</v>
      </c>
      <c r="AB59" s="132">
        <f>_xlfn.XLOOKUP(Baukon_alle_A4_join[[#This Row],[Transport.Transport-Modus]],LeitRess_Materialien[Name],LeitRess_Materialien[WDP '[m³ weighted water/kg']])*Baukon_alle_A4_join[[#This Row],[Transportdistanz.Voreinstellung]]*Baukon_alle_A4_join[[#This Row],[Masse '[kg/m²'] max]]</f>
        <v>1.8389527933015962E-4</v>
      </c>
      <c r="AC59"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4.5027240124723203E-7</v>
      </c>
      <c r="AD59"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4.5027240124723203E-7</v>
      </c>
      <c r="AE59"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4.5027240124723203E-7</v>
      </c>
    </row>
    <row r="60" spans="1:31" x14ac:dyDescent="0.45">
      <c r="A60" t="s">
        <v>110</v>
      </c>
      <c r="B60" t="s">
        <v>339</v>
      </c>
      <c r="C60" t="s">
        <v>309</v>
      </c>
      <c r="D60" t="s">
        <v>114</v>
      </c>
      <c r="E60" t="s">
        <v>258</v>
      </c>
      <c r="F60" t="s">
        <v>258</v>
      </c>
      <c r="G60">
        <v>467.46</v>
      </c>
      <c r="H60">
        <v>467.46</v>
      </c>
      <c r="I60">
        <v>467.46</v>
      </c>
      <c r="K60" t="s">
        <v>17</v>
      </c>
      <c r="L60" t="s">
        <v>305</v>
      </c>
      <c r="M60" t="s">
        <v>253</v>
      </c>
      <c r="N60" s="132">
        <f>_xlfn.XLOOKUP(Baukon_alle_A4_join[[#This Row],[Transport.Transport-Modus]],LeitRess_Materialien[Name],LeitRess_Materialien[RMI '[kg Primärrohstoffe / kg']])*Baukon_alle_A4_join[[#This Row],[Transportdistanz.Voreinstellung]]*Baukon_alle_A4_join[[#This Row],[Masse '[kg/m²'] Referenz]]</f>
        <v>4.0783145924817044</v>
      </c>
      <c r="O60" s="132">
        <f>_xlfn.XLOOKUP(Baukon_alle_A4_join[[#This Row],[Transport.Transport-Modus]],LeitRess_Materialien[Name],LeitRess_Materialien[RMI '[kg Primärrohstoffe / kg']])*Baukon_alle_A4_join[[#This Row],[Transportdistanz.Voreinstellung]]*Baukon_alle_A4_join[[#This Row],[Masse '[kg/m²'] min]]</f>
        <v>4.0783145924817044</v>
      </c>
      <c r="P60" s="132">
        <f>_xlfn.XLOOKUP(Baukon_alle_A4_join[[#This Row],[Transport.Transport-Modus]],LeitRess_Materialien[Name],LeitRess_Materialien[RMI '[kg Primärrohstoffe / kg']])*Baukon_alle_A4_join[[#This Row],[Transportdistanz.Voreinstellung]]*Baukon_alle_A4_join[[#This Row],[Masse '[kg/m²'] max]]</f>
        <v>4.0783145924817044</v>
      </c>
      <c r="Q60" s="132">
        <f>_xlfn.XLOOKUP(Baukon_alle_A4_join[[#This Row],[Transport.Transport-Modus]],LeitRess_Materialien[Name],LeitRess_Materialien[TMR '[kg Gesamtmaterialaufwand/kg']])*Baukon_alle_A4_join[[#This Row],[Transportdistanz.Voreinstellung]]*Baukon_alle_A4_join[[#This Row],[Masse '[kg/m²'] Referenz]]</f>
        <v>4.8607266054182192</v>
      </c>
      <c r="R60" s="132">
        <f>_xlfn.XLOOKUP(Baukon_alle_A4_join[[#This Row],[Transport.Transport-Modus]],LeitRess_Materialien[Name],LeitRess_Materialien[TMR '[kg Gesamtmaterialaufwand/kg']])*Baukon_alle_A4_join[[#This Row],[Transportdistanz.Voreinstellung]]*Baukon_alle_A4_join[[#This Row],[Masse '[kg/m²'] min]]</f>
        <v>4.8607266054182192</v>
      </c>
      <c r="S60" s="132">
        <f>_xlfn.XLOOKUP(Baukon_alle_A4_join[[#This Row],[Transport.Transport-Modus]],LeitRess_Materialien[Name],LeitRess_Materialien[TMR '[kg Gesamtmaterialaufwand/kg']])*Baukon_alle_A4_join[[#This Row],[Transportdistanz.Voreinstellung]]*Baukon_alle_A4_join[[#This Row],[Masse '[kg/m²'] max]]</f>
        <v>4.8607266054182192</v>
      </c>
      <c r="T60" s="132">
        <f>_xlfn.XLOOKUP(Baukon_alle_A4_join[[#This Row],[Transport.Transport-Modus]],LeitRess_Materialien[Name],LeitRess_Materialien[GWP '[kg CO2-Äqu./kg']])*Baukon_alle_A4_join[[#This Row],[Transportdistanz.Voreinstellung]]*Baukon_alle_A4_join[[#This Row],[Masse '[kg/m²'] Referenz]]</f>
        <v>4.5245939098224195</v>
      </c>
      <c r="U60" s="132">
        <f>_xlfn.XLOOKUP(Baukon_alle_A4_join[[#This Row],[Transport.Transport-Modus]],LeitRess_Materialien[Name],LeitRess_Materialien[GWP '[kg CO2-Äqu./kg']])*Baukon_alle_A4_join[[#This Row],[Transportdistanz.Voreinstellung]]*Baukon_alle_A4_join[[#This Row],[Masse '[kg/m²'] min]]</f>
        <v>4.5245939098224195</v>
      </c>
      <c r="V60" s="132">
        <f>_xlfn.XLOOKUP(Baukon_alle_A4_join[[#This Row],[Transport.Transport-Modus]],LeitRess_Materialien[Name],LeitRess_Materialien[GWP '[kg CO2-Äqu./kg']])*Baukon_alle_A4_join[[#This Row],[Transportdistanz.Voreinstellung]]*Baukon_alle_A4_join[[#This Row],[Masse '[kg/m²'] max]]</f>
        <v>4.5245939098224195</v>
      </c>
      <c r="W60" s="132">
        <f>_xlfn.XLOOKUP(Baukon_alle_A4_join[[#This Row],[Transport.Transport-Modus]],LeitRess_Materialien[Name],LeitRess_Materialien[PENRT '[MJ/kg']])*Baukon_alle_A4_join[[#This Row],[Transportdistanz.Voreinstellung]]*Baukon_alle_A4_join[[#This Row],[Masse '[kg/m²'] Referenz]]</f>
        <v>28.230024114683996</v>
      </c>
      <c r="X60" s="132">
        <f>_xlfn.XLOOKUP(Baukon_alle_A4_join[[#This Row],[Transport.Transport-Modus]],LeitRess_Materialien[Name],LeitRess_Materialien[PENRT '[MJ/kg']])*Baukon_alle_A4_join[[#This Row],[Transportdistanz.Voreinstellung]]*Baukon_alle_A4_join[[#This Row],[Masse '[kg/m²'] min]]</f>
        <v>28.230024114683996</v>
      </c>
      <c r="Y60" s="132">
        <f>_xlfn.XLOOKUP(Baukon_alle_A4_join[[#This Row],[Transport.Transport-Modus]],LeitRess_Materialien[Name],LeitRess_Materialien[PENRT '[MJ/kg']])*Baukon_alle_A4_join[[#This Row],[Transportdistanz.Voreinstellung]]*Baukon_alle_A4_join[[#This Row],[Masse '[kg/m²'] max]]</f>
        <v>28.230024114683996</v>
      </c>
      <c r="Z60" s="132">
        <f>_xlfn.XLOOKUP(Baukon_alle_A4_join[[#This Row],[Transport.Transport-Modus]],LeitRess_Materialien[Name],LeitRess_Materialien[WDP '[m³ weighted water/kg']])*Baukon_alle_A4_join[[#This Row],[Transportdistanz.Voreinstellung]]*Baukon_alle_A4_join[[#This Row],[Masse '[kg/m²'] Referenz]]</f>
        <v>0.30701316884170143</v>
      </c>
      <c r="AA60" s="132">
        <f>_xlfn.XLOOKUP(Baukon_alle_A4_join[[#This Row],[Transport.Transport-Modus]],LeitRess_Materialien[Name],LeitRess_Materialien[WDP '[m³ weighted water/kg']])*Baukon_alle_A4_join[[#This Row],[Transportdistanz.Voreinstellung]]*Baukon_alle_A4_join[[#This Row],[Masse '[kg/m²'] min]]</f>
        <v>0.30701316884170143</v>
      </c>
      <c r="AB60" s="132">
        <f>_xlfn.XLOOKUP(Baukon_alle_A4_join[[#This Row],[Transport.Transport-Modus]],LeitRess_Materialien[Name],LeitRess_Materialien[WDP '[m³ weighted water/kg']])*Baukon_alle_A4_join[[#This Row],[Transportdistanz.Voreinstellung]]*Baukon_alle_A4_join[[#This Row],[Masse '[kg/m²'] max]]</f>
        <v>0.30701316884170143</v>
      </c>
      <c r="AC60"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7.5172977388225377E-4</v>
      </c>
      <c r="AD60"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7.5172977388225377E-4</v>
      </c>
      <c r="AE60"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7.5172977388225377E-4</v>
      </c>
    </row>
    <row r="61" spans="1:31" x14ac:dyDescent="0.45">
      <c r="A61" t="s">
        <v>110</v>
      </c>
      <c r="B61" t="s">
        <v>339</v>
      </c>
      <c r="C61" t="s">
        <v>309</v>
      </c>
      <c r="D61" t="s">
        <v>114</v>
      </c>
      <c r="E61" t="s">
        <v>322</v>
      </c>
      <c r="F61" t="s">
        <v>229</v>
      </c>
      <c r="G61">
        <v>15.1</v>
      </c>
      <c r="H61">
        <v>15.1</v>
      </c>
      <c r="I61">
        <v>15.1</v>
      </c>
      <c r="K61" t="s">
        <v>17</v>
      </c>
      <c r="L61" t="s">
        <v>305</v>
      </c>
      <c r="M61" t="s">
        <v>253</v>
      </c>
      <c r="N61" s="132">
        <f>_xlfn.XLOOKUP(Baukon_alle_A4_join[[#This Row],[Transport.Transport-Modus]],LeitRess_Materialien[Name],LeitRess_Materialien[RMI '[kg Primärrohstoffe / kg']])*Baukon_alle_A4_join[[#This Row],[Transportdistanz.Voreinstellung]]*Baukon_alle_A4_join[[#This Row],[Masse '[kg/m²'] Referenz]]</f>
        <v>0.13173865217660066</v>
      </c>
      <c r="O61" s="132">
        <f>_xlfn.XLOOKUP(Baukon_alle_A4_join[[#This Row],[Transport.Transport-Modus]],LeitRess_Materialien[Name],LeitRess_Materialien[RMI '[kg Primärrohstoffe / kg']])*Baukon_alle_A4_join[[#This Row],[Transportdistanz.Voreinstellung]]*Baukon_alle_A4_join[[#This Row],[Masse '[kg/m²'] min]]</f>
        <v>0.13173865217660066</v>
      </c>
      <c r="P61" s="132">
        <f>_xlfn.XLOOKUP(Baukon_alle_A4_join[[#This Row],[Transport.Transport-Modus]],LeitRess_Materialien[Name],LeitRess_Materialien[RMI '[kg Primärrohstoffe / kg']])*Baukon_alle_A4_join[[#This Row],[Transportdistanz.Voreinstellung]]*Baukon_alle_A4_join[[#This Row],[Masse '[kg/m²'] max]]</f>
        <v>0.13173865217660066</v>
      </c>
      <c r="Q61" s="132">
        <f>_xlfn.XLOOKUP(Baukon_alle_A4_join[[#This Row],[Transport.Transport-Modus]],LeitRess_Materialien[Name],LeitRess_Materialien[TMR '[kg Gesamtmaterialaufwand/kg']])*Baukon_alle_A4_join[[#This Row],[Transportdistanz.Voreinstellung]]*Baukon_alle_A4_join[[#This Row],[Masse '[kg/m²'] Referenz]]</f>
        <v>0.1570123042438179</v>
      </c>
      <c r="R61" s="132">
        <f>_xlfn.XLOOKUP(Baukon_alle_A4_join[[#This Row],[Transport.Transport-Modus]],LeitRess_Materialien[Name],LeitRess_Materialien[TMR '[kg Gesamtmaterialaufwand/kg']])*Baukon_alle_A4_join[[#This Row],[Transportdistanz.Voreinstellung]]*Baukon_alle_A4_join[[#This Row],[Masse '[kg/m²'] min]]</f>
        <v>0.1570123042438179</v>
      </c>
      <c r="S61" s="132">
        <f>_xlfn.XLOOKUP(Baukon_alle_A4_join[[#This Row],[Transport.Transport-Modus]],LeitRess_Materialien[Name],LeitRess_Materialien[TMR '[kg Gesamtmaterialaufwand/kg']])*Baukon_alle_A4_join[[#This Row],[Transportdistanz.Voreinstellung]]*Baukon_alle_A4_join[[#This Row],[Masse '[kg/m²'] max]]</f>
        <v>0.1570123042438179</v>
      </c>
      <c r="T61" s="132">
        <f>_xlfn.XLOOKUP(Baukon_alle_A4_join[[#This Row],[Transport.Transport-Modus]],LeitRess_Materialien[Name],LeitRess_Materialien[GWP '[kg CO2-Äqu./kg']])*Baukon_alle_A4_join[[#This Row],[Transportdistanz.Voreinstellung]]*Baukon_alle_A4_join[[#This Row],[Masse '[kg/m²'] Referenz]]</f>
        <v>0.14615446891352957</v>
      </c>
      <c r="U61" s="132">
        <f>_xlfn.XLOOKUP(Baukon_alle_A4_join[[#This Row],[Transport.Transport-Modus]],LeitRess_Materialien[Name],LeitRess_Materialien[GWP '[kg CO2-Äqu./kg']])*Baukon_alle_A4_join[[#This Row],[Transportdistanz.Voreinstellung]]*Baukon_alle_A4_join[[#This Row],[Masse '[kg/m²'] min]]</f>
        <v>0.14615446891352957</v>
      </c>
      <c r="V61" s="132">
        <f>_xlfn.XLOOKUP(Baukon_alle_A4_join[[#This Row],[Transport.Transport-Modus]],LeitRess_Materialien[Name],LeitRess_Materialien[GWP '[kg CO2-Äqu./kg']])*Baukon_alle_A4_join[[#This Row],[Transportdistanz.Voreinstellung]]*Baukon_alle_A4_join[[#This Row],[Masse '[kg/m²'] max]]</f>
        <v>0.14615446891352957</v>
      </c>
      <c r="W61" s="132">
        <f>_xlfn.XLOOKUP(Baukon_alle_A4_join[[#This Row],[Transport.Transport-Modus]],LeitRess_Materialien[Name],LeitRess_Materialien[PENRT '[MJ/kg']])*Baukon_alle_A4_join[[#This Row],[Transportdistanz.Voreinstellung]]*Baukon_alle_A4_join[[#This Row],[Masse '[kg/m²'] Referenz]]</f>
        <v>0.9118927055399999</v>
      </c>
      <c r="X61" s="132">
        <f>_xlfn.XLOOKUP(Baukon_alle_A4_join[[#This Row],[Transport.Transport-Modus]],LeitRess_Materialien[Name],LeitRess_Materialien[PENRT '[MJ/kg']])*Baukon_alle_A4_join[[#This Row],[Transportdistanz.Voreinstellung]]*Baukon_alle_A4_join[[#This Row],[Masse '[kg/m²'] min]]</f>
        <v>0.9118927055399999</v>
      </c>
      <c r="Y61" s="132">
        <f>_xlfn.XLOOKUP(Baukon_alle_A4_join[[#This Row],[Transport.Transport-Modus]],LeitRess_Materialien[Name],LeitRess_Materialien[PENRT '[MJ/kg']])*Baukon_alle_A4_join[[#This Row],[Transportdistanz.Voreinstellung]]*Baukon_alle_A4_join[[#This Row],[Masse '[kg/m²'] max]]</f>
        <v>0.9118927055399999</v>
      </c>
      <c r="Z61" s="132">
        <f>_xlfn.XLOOKUP(Baukon_alle_A4_join[[#This Row],[Transport.Transport-Modus]],LeitRess_Materialien[Name],LeitRess_Materialien[WDP '[m³ weighted water/kg']])*Baukon_alle_A4_join[[#This Row],[Transportdistanz.Voreinstellung]]*Baukon_alle_A4_join[[#This Row],[Masse '[kg/m²'] Referenz]]</f>
        <v>9.9172097067336071E-3</v>
      </c>
      <c r="AA61" s="132">
        <f>_xlfn.XLOOKUP(Baukon_alle_A4_join[[#This Row],[Transport.Transport-Modus]],LeitRess_Materialien[Name],LeitRess_Materialien[WDP '[m³ weighted water/kg']])*Baukon_alle_A4_join[[#This Row],[Transportdistanz.Voreinstellung]]*Baukon_alle_A4_join[[#This Row],[Masse '[kg/m²'] min]]</f>
        <v>9.9172097067336071E-3</v>
      </c>
      <c r="AB61" s="132">
        <f>_xlfn.XLOOKUP(Baukon_alle_A4_join[[#This Row],[Transport.Transport-Modus]],LeitRess_Materialien[Name],LeitRess_Materialien[WDP '[m³ weighted water/kg']])*Baukon_alle_A4_join[[#This Row],[Transportdistanz.Voreinstellung]]*Baukon_alle_A4_join[[#This Row],[Masse '[kg/m²'] max]]</f>
        <v>9.9172097067336071E-3</v>
      </c>
      <c r="AC61"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2.4282547352975728E-5</v>
      </c>
      <c r="AD61"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2.4282547352975728E-5</v>
      </c>
      <c r="AE61"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2.4282547352975728E-5</v>
      </c>
    </row>
    <row r="62" spans="1:31" x14ac:dyDescent="0.45">
      <c r="A62" t="s">
        <v>117</v>
      </c>
      <c r="B62" t="s">
        <v>342</v>
      </c>
      <c r="C62" t="s">
        <v>343</v>
      </c>
      <c r="D62" t="s">
        <v>119</v>
      </c>
      <c r="E62" t="s">
        <v>322</v>
      </c>
      <c r="F62" t="s">
        <v>229</v>
      </c>
      <c r="G62">
        <v>15.1</v>
      </c>
      <c r="H62">
        <v>15.1</v>
      </c>
      <c r="I62">
        <v>15.1</v>
      </c>
      <c r="K62" t="s">
        <v>17</v>
      </c>
      <c r="L62" t="s">
        <v>305</v>
      </c>
      <c r="M62" t="s">
        <v>253</v>
      </c>
      <c r="N62" s="132">
        <f>_xlfn.XLOOKUP(Baukon_alle_A4_join[[#This Row],[Transport.Transport-Modus]],LeitRess_Materialien[Name],LeitRess_Materialien[RMI '[kg Primärrohstoffe / kg']])*Baukon_alle_A4_join[[#This Row],[Transportdistanz.Voreinstellung]]*Baukon_alle_A4_join[[#This Row],[Masse '[kg/m²'] Referenz]]</f>
        <v>0.13173865217660066</v>
      </c>
      <c r="O62" s="132">
        <f>_xlfn.XLOOKUP(Baukon_alle_A4_join[[#This Row],[Transport.Transport-Modus]],LeitRess_Materialien[Name],LeitRess_Materialien[RMI '[kg Primärrohstoffe / kg']])*Baukon_alle_A4_join[[#This Row],[Transportdistanz.Voreinstellung]]*Baukon_alle_A4_join[[#This Row],[Masse '[kg/m²'] min]]</f>
        <v>0.13173865217660066</v>
      </c>
      <c r="P62" s="132">
        <f>_xlfn.XLOOKUP(Baukon_alle_A4_join[[#This Row],[Transport.Transport-Modus]],LeitRess_Materialien[Name],LeitRess_Materialien[RMI '[kg Primärrohstoffe / kg']])*Baukon_alle_A4_join[[#This Row],[Transportdistanz.Voreinstellung]]*Baukon_alle_A4_join[[#This Row],[Masse '[kg/m²'] max]]</f>
        <v>0.13173865217660066</v>
      </c>
      <c r="Q62" s="132">
        <f>_xlfn.XLOOKUP(Baukon_alle_A4_join[[#This Row],[Transport.Transport-Modus]],LeitRess_Materialien[Name],LeitRess_Materialien[TMR '[kg Gesamtmaterialaufwand/kg']])*Baukon_alle_A4_join[[#This Row],[Transportdistanz.Voreinstellung]]*Baukon_alle_A4_join[[#This Row],[Masse '[kg/m²'] Referenz]]</f>
        <v>0.1570123042438179</v>
      </c>
      <c r="R62" s="132">
        <f>_xlfn.XLOOKUP(Baukon_alle_A4_join[[#This Row],[Transport.Transport-Modus]],LeitRess_Materialien[Name],LeitRess_Materialien[TMR '[kg Gesamtmaterialaufwand/kg']])*Baukon_alle_A4_join[[#This Row],[Transportdistanz.Voreinstellung]]*Baukon_alle_A4_join[[#This Row],[Masse '[kg/m²'] min]]</f>
        <v>0.1570123042438179</v>
      </c>
      <c r="S62" s="132">
        <f>_xlfn.XLOOKUP(Baukon_alle_A4_join[[#This Row],[Transport.Transport-Modus]],LeitRess_Materialien[Name],LeitRess_Materialien[TMR '[kg Gesamtmaterialaufwand/kg']])*Baukon_alle_A4_join[[#This Row],[Transportdistanz.Voreinstellung]]*Baukon_alle_A4_join[[#This Row],[Masse '[kg/m²'] max]]</f>
        <v>0.1570123042438179</v>
      </c>
      <c r="T62" s="132">
        <f>_xlfn.XLOOKUP(Baukon_alle_A4_join[[#This Row],[Transport.Transport-Modus]],LeitRess_Materialien[Name],LeitRess_Materialien[GWP '[kg CO2-Äqu./kg']])*Baukon_alle_A4_join[[#This Row],[Transportdistanz.Voreinstellung]]*Baukon_alle_A4_join[[#This Row],[Masse '[kg/m²'] Referenz]]</f>
        <v>0.14615446891352957</v>
      </c>
      <c r="U62" s="132">
        <f>_xlfn.XLOOKUP(Baukon_alle_A4_join[[#This Row],[Transport.Transport-Modus]],LeitRess_Materialien[Name],LeitRess_Materialien[GWP '[kg CO2-Äqu./kg']])*Baukon_alle_A4_join[[#This Row],[Transportdistanz.Voreinstellung]]*Baukon_alle_A4_join[[#This Row],[Masse '[kg/m²'] min]]</f>
        <v>0.14615446891352957</v>
      </c>
      <c r="V62" s="132">
        <f>_xlfn.XLOOKUP(Baukon_alle_A4_join[[#This Row],[Transport.Transport-Modus]],LeitRess_Materialien[Name],LeitRess_Materialien[GWP '[kg CO2-Äqu./kg']])*Baukon_alle_A4_join[[#This Row],[Transportdistanz.Voreinstellung]]*Baukon_alle_A4_join[[#This Row],[Masse '[kg/m²'] max]]</f>
        <v>0.14615446891352957</v>
      </c>
      <c r="W62" s="132">
        <f>_xlfn.XLOOKUP(Baukon_alle_A4_join[[#This Row],[Transport.Transport-Modus]],LeitRess_Materialien[Name],LeitRess_Materialien[PENRT '[MJ/kg']])*Baukon_alle_A4_join[[#This Row],[Transportdistanz.Voreinstellung]]*Baukon_alle_A4_join[[#This Row],[Masse '[kg/m²'] Referenz]]</f>
        <v>0.9118927055399999</v>
      </c>
      <c r="X62" s="132">
        <f>_xlfn.XLOOKUP(Baukon_alle_A4_join[[#This Row],[Transport.Transport-Modus]],LeitRess_Materialien[Name],LeitRess_Materialien[PENRT '[MJ/kg']])*Baukon_alle_A4_join[[#This Row],[Transportdistanz.Voreinstellung]]*Baukon_alle_A4_join[[#This Row],[Masse '[kg/m²'] min]]</f>
        <v>0.9118927055399999</v>
      </c>
      <c r="Y62" s="132">
        <f>_xlfn.XLOOKUP(Baukon_alle_A4_join[[#This Row],[Transport.Transport-Modus]],LeitRess_Materialien[Name],LeitRess_Materialien[PENRT '[MJ/kg']])*Baukon_alle_A4_join[[#This Row],[Transportdistanz.Voreinstellung]]*Baukon_alle_A4_join[[#This Row],[Masse '[kg/m²'] max]]</f>
        <v>0.9118927055399999</v>
      </c>
      <c r="Z62" s="132">
        <f>_xlfn.XLOOKUP(Baukon_alle_A4_join[[#This Row],[Transport.Transport-Modus]],LeitRess_Materialien[Name],LeitRess_Materialien[WDP '[m³ weighted water/kg']])*Baukon_alle_A4_join[[#This Row],[Transportdistanz.Voreinstellung]]*Baukon_alle_A4_join[[#This Row],[Masse '[kg/m²'] Referenz]]</f>
        <v>9.9172097067336071E-3</v>
      </c>
      <c r="AA62" s="132">
        <f>_xlfn.XLOOKUP(Baukon_alle_A4_join[[#This Row],[Transport.Transport-Modus]],LeitRess_Materialien[Name],LeitRess_Materialien[WDP '[m³ weighted water/kg']])*Baukon_alle_A4_join[[#This Row],[Transportdistanz.Voreinstellung]]*Baukon_alle_A4_join[[#This Row],[Masse '[kg/m²'] min]]</f>
        <v>9.9172097067336071E-3</v>
      </c>
      <c r="AB62" s="132">
        <f>_xlfn.XLOOKUP(Baukon_alle_A4_join[[#This Row],[Transport.Transport-Modus]],LeitRess_Materialien[Name],LeitRess_Materialien[WDP '[m³ weighted water/kg']])*Baukon_alle_A4_join[[#This Row],[Transportdistanz.Voreinstellung]]*Baukon_alle_A4_join[[#This Row],[Masse '[kg/m²'] max]]</f>
        <v>9.9172097067336071E-3</v>
      </c>
      <c r="AC62"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2.4282547352975728E-5</v>
      </c>
      <c r="AD62"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2.4282547352975728E-5</v>
      </c>
      <c r="AE62"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2.4282547352975728E-5</v>
      </c>
    </row>
    <row r="63" spans="1:31" x14ac:dyDescent="0.45">
      <c r="A63" t="s">
        <v>117</v>
      </c>
      <c r="B63" t="s">
        <v>342</v>
      </c>
      <c r="C63" t="s">
        <v>343</v>
      </c>
      <c r="D63" t="s">
        <v>119</v>
      </c>
      <c r="E63" t="s">
        <v>307</v>
      </c>
      <c r="F63" t="s">
        <v>224</v>
      </c>
      <c r="G63">
        <v>467.46</v>
      </c>
      <c r="H63">
        <v>467.46</v>
      </c>
      <c r="I63">
        <v>467.46</v>
      </c>
      <c r="K63" t="s">
        <v>17</v>
      </c>
      <c r="L63" t="s">
        <v>305</v>
      </c>
      <c r="M63" t="s">
        <v>253</v>
      </c>
      <c r="N63" s="132">
        <f>_xlfn.XLOOKUP(Baukon_alle_A4_join[[#This Row],[Transport.Transport-Modus]],LeitRess_Materialien[Name],LeitRess_Materialien[RMI '[kg Primärrohstoffe / kg']])*Baukon_alle_A4_join[[#This Row],[Transportdistanz.Voreinstellung]]*Baukon_alle_A4_join[[#This Row],[Masse '[kg/m²'] Referenz]]</f>
        <v>4.0783145924817044</v>
      </c>
      <c r="O63" s="132">
        <f>_xlfn.XLOOKUP(Baukon_alle_A4_join[[#This Row],[Transport.Transport-Modus]],LeitRess_Materialien[Name],LeitRess_Materialien[RMI '[kg Primärrohstoffe / kg']])*Baukon_alle_A4_join[[#This Row],[Transportdistanz.Voreinstellung]]*Baukon_alle_A4_join[[#This Row],[Masse '[kg/m²'] min]]</f>
        <v>4.0783145924817044</v>
      </c>
      <c r="P63" s="132">
        <f>_xlfn.XLOOKUP(Baukon_alle_A4_join[[#This Row],[Transport.Transport-Modus]],LeitRess_Materialien[Name],LeitRess_Materialien[RMI '[kg Primärrohstoffe / kg']])*Baukon_alle_A4_join[[#This Row],[Transportdistanz.Voreinstellung]]*Baukon_alle_A4_join[[#This Row],[Masse '[kg/m²'] max]]</f>
        <v>4.0783145924817044</v>
      </c>
      <c r="Q63" s="132">
        <f>_xlfn.XLOOKUP(Baukon_alle_A4_join[[#This Row],[Transport.Transport-Modus]],LeitRess_Materialien[Name],LeitRess_Materialien[TMR '[kg Gesamtmaterialaufwand/kg']])*Baukon_alle_A4_join[[#This Row],[Transportdistanz.Voreinstellung]]*Baukon_alle_A4_join[[#This Row],[Masse '[kg/m²'] Referenz]]</f>
        <v>4.8607266054182192</v>
      </c>
      <c r="R63" s="132">
        <f>_xlfn.XLOOKUP(Baukon_alle_A4_join[[#This Row],[Transport.Transport-Modus]],LeitRess_Materialien[Name],LeitRess_Materialien[TMR '[kg Gesamtmaterialaufwand/kg']])*Baukon_alle_A4_join[[#This Row],[Transportdistanz.Voreinstellung]]*Baukon_alle_A4_join[[#This Row],[Masse '[kg/m²'] min]]</f>
        <v>4.8607266054182192</v>
      </c>
      <c r="S63" s="132">
        <f>_xlfn.XLOOKUP(Baukon_alle_A4_join[[#This Row],[Transport.Transport-Modus]],LeitRess_Materialien[Name],LeitRess_Materialien[TMR '[kg Gesamtmaterialaufwand/kg']])*Baukon_alle_A4_join[[#This Row],[Transportdistanz.Voreinstellung]]*Baukon_alle_A4_join[[#This Row],[Masse '[kg/m²'] max]]</f>
        <v>4.8607266054182192</v>
      </c>
      <c r="T63" s="132">
        <f>_xlfn.XLOOKUP(Baukon_alle_A4_join[[#This Row],[Transport.Transport-Modus]],LeitRess_Materialien[Name],LeitRess_Materialien[GWP '[kg CO2-Äqu./kg']])*Baukon_alle_A4_join[[#This Row],[Transportdistanz.Voreinstellung]]*Baukon_alle_A4_join[[#This Row],[Masse '[kg/m²'] Referenz]]</f>
        <v>4.5245939098224195</v>
      </c>
      <c r="U63" s="132">
        <f>_xlfn.XLOOKUP(Baukon_alle_A4_join[[#This Row],[Transport.Transport-Modus]],LeitRess_Materialien[Name],LeitRess_Materialien[GWP '[kg CO2-Äqu./kg']])*Baukon_alle_A4_join[[#This Row],[Transportdistanz.Voreinstellung]]*Baukon_alle_A4_join[[#This Row],[Masse '[kg/m²'] min]]</f>
        <v>4.5245939098224195</v>
      </c>
      <c r="V63" s="132">
        <f>_xlfn.XLOOKUP(Baukon_alle_A4_join[[#This Row],[Transport.Transport-Modus]],LeitRess_Materialien[Name],LeitRess_Materialien[GWP '[kg CO2-Äqu./kg']])*Baukon_alle_A4_join[[#This Row],[Transportdistanz.Voreinstellung]]*Baukon_alle_A4_join[[#This Row],[Masse '[kg/m²'] max]]</f>
        <v>4.5245939098224195</v>
      </c>
      <c r="W63" s="132">
        <f>_xlfn.XLOOKUP(Baukon_alle_A4_join[[#This Row],[Transport.Transport-Modus]],LeitRess_Materialien[Name],LeitRess_Materialien[PENRT '[MJ/kg']])*Baukon_alle_A4_join[[#This Row],[Transportdistanz.Voreinstellung]]*Baukon_alle_A4_join[[#This Row],[Masse '[kg/m²'] Referenz]]</f>
        <v>28.230024114683996</v>
      </c>
      <c r="X63" s="132">
        <f>_xlfn.XLOOKUP(Baukon_alle_A4_join[[#This Row],[Transport.Transport-Modus]],LeitRess_Materialien[Name],LeitRess_Materialien[PENRT '[MJ/kg']])*Baukon_alle_A4_join[[#This Row],[Transportdistanz.Voreinstellung]]*Baukon_alle_A4_join[[#This Row],[Masse '[kg/m²'] min]]</f>
        <v>28.230024114683996</v>
      </c>
      <c r="Y63" s="132">
        <f>_xlfn.XLOOKUP(Baukon_alle_A4_join[[#This Row],[Transport.Transport-Modus]],LeitRess_Materialien[Name],LeitRess_Materialien[PENRT '[MJ/kg']])*Baukon_alle_A4_join[[#This Row],[Transportdistanz.Voreinstellung]]*Baukon_alle_A4_join[[#This Row],[Masse '[kg/m²'] max]]</f>
        <v>28.230024114683996</v>
      </c>
      <c r="Z63" s="132">
        <f>_xlfn.XLOOKUP(Baukon_alle_A4_join[[#This Row],[Transport.Transport-Modus]],LeitRess_Materialien[Name],LeitRess_Materialien[WDP '[m³ weighted water/kg']])*Baukon_alle_A4_join[[#This Row],[Transportdistanz.Voreinstellung]]*Baukon_alle_A4_join[[#This Row],[Masse '[kg/m²'] Referenz]]</f>
        <v>0.30701316884170143</v>
      </c>
      <c r="AA63" s="132">
        <f>_xlfn.XLOOKUP(Baukon_alle_A4_join[[#This Row],[Transport.Transport-Modus]],LeitRess_Materialien[Name],LeitRess_Materialien[WDP '[m³ weighted water/kg']])*Baukon_alle_A4_join[[#This Row],[Transportdistanz.Voreinstellung]]*Baukon_alle_A4_join[[#This Row],[Masse '[kg/m²'] min]]</f>
        <v>0.30701316884170143</v>
      </c>
      <c r="AB63" s="132">
        <f>_xlfn.XLOOKUP(Baukon_alle_A4_join[[#This Row],[Transport.Transport-Modus]],LeitRess_Materialien[Name],LeitRess_Materialien[WDP '[m³ weighted water/kg']])*Baukon_alle_A4_join[[#This Row],[Transportdistanz.Voreinstellung]]*Baukon_alle_A4_join[[#This Row],[Masse '[kg/m²'] max]]</f>
        <v>0.30701316884170143</v>
      </c>
      <c r="AC63"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7.5172977388225377E-4</v>
      </c>
      <c r="AD63"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7.5172977388225377E-4</v>
      </c>
      <c r="AE63"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7.5172977388225377E-4</v>
      </c>
    </row>
    <row r="64" spans="1:31" x14ac:dyDescent="0.45">
      <c r="A64" t="s">
        <v>117</v>
      </c>
      <c r="B64" t="s">
        <v>342</v>
      </c>
      <c r="C64" t="s">
        <v>343</v>
      </c>
      <c r="D64" t="s">
        <v>119</v>
      </c>
      <c r="E64" t="s">
        <v>319</v>
      </c>
      <c r="F64" t="s">
        <v>282</v>
      </c>
      <c r="G64">
        <v>0.28000000000000003</v>
      </c>
      <c r="H64">
        <v>0.28000000000000003</v>
      </c>
      <c r="I64">
        <v>0.28000000000000003</v>
      </c>
      <c r="K64" t="s">
        <v>17</v>
      </c>
      <c r="L64" t="s">
        <v>305</v>
      </c>
      <c r="M64" t="s">
        <v>253</v>
      </c>
      <c r="N64" s="132">
        <f>_xlfn.XLOOKUP(Baukon_alle_A4_join[[#This Row],[Transport.Transport-Modus]],LeitRess_Materialien[Name],LeitRess_Materialien[RMI '[kg Primärrohstoffe / kg']])*Baukon_alle_A4_join[[#This Row],[Transportdistanz.Voreinstellung]]*Baukon_alle_A4_join[[#This Row],[Masse '[kg/m²'] Referenz]]</f>
        <v>2.4428359344005422E-3</v>
      </c>
      <c r="O64" s="132">
        <f>_xlfn.XLOOKUP(Baukon_alle_A4_join[[#This Row],[Transport.Transport-Modus]],LeitRess_Materialien[Name],LeitRess_Materialien[RMI '[kg Primärrohstoffe / kg']])*Baukon_alle_A4_join[[#This Row],[Transportdistanz.Voreinstellung]]*Baukon_alle_A4_join[[#This Row],[Masse '[kg/m²'] min]]</f>
        <v>2.4428359344005422E-3</v>
      </c>
      <c r="P64" s="132">
        <f>_xlfn.XLOOKUP(Baukon_alle_A4_join[[#This Row],[Transport.Transport-Modus]],LeitRess_Materialien[Name],LeitRess_Materialien[RMI '[kg Primärrohstoffe / kg']])*Baukon_alle_A4_join[[#This Row],[Transportdistanz.Voreinstellung]]*Baukon_alle_A4_join[[#This Row],[Masse '[kg/m²'] max]]</f>
        <v>2.4428359344005422E-3</v>
      </c>
      <c r="Q64" s="132">
        <f>_xlfn.XLOOKUP(Baukon_alle_A4_join[[#This Row],[Transport.Transport-Modus]],LeitRess_Materialien[Name],LeitRess_Materialien[TMR '[kg Gesamtmaterialaufwand/kg']])*Baukon_alle_A4_join[[#This Row],[Transportdistanz.Voreinstellung]]*Baukon_alle_A4_join[[#This Row],[Masse '[kg/m²'] Referenz]]</f>
        <v>2.9114864363092062E-3</v>
      </c>
      <c r="R64" s="132">
        <f>_xlfn.XLOOKUP(Baukon_alle_A4_join[[#This Row],[Transport.Transport-Modus]],LeitRess_Materialien[Name],LeitRess_Materialien[TMR '[kg Gesamtmaterialaufwand/kg']])*Baukon_alle_A4_join[[#This Row],[Transportdistanz.Voreinstellung]]*Baukon_alle_A4_join[[#This Row],[Masse '[kg/m²'] min]]</f>
        <v>2.9114864363092062E-3</v>
      </c>
      <c r="S64" s="132">
        <f>_xlfn.XLOOKUP(Baukon_alle_A4_join[[#This Row],[Transport.Transport-Modus]],LeitRess_Materialien[Name],LeitRess_Materialien[TMR '[kg Gesamtmaterialaufwand/kg']])*Baukon_alle_A4_join[[#This Row],[Transportdistanz.Voreinstellung]]*Baukon_alle_A4_join[[#This Row],[Masse '[kg/m²'] max]]</f>
        <v>2.9114864363092062E-3</v>
      </c>
      <c r="T64" s="132">
        <f>_xlfn.XLOOKUP(Baukon_alle_A4_join[[#This Row],[Transport.Transport-Modus]],LeitRess_Materialien[Name],LeitRess_Materialien[GWP '[kg CO2-Äqu./kg']])*Baukon_alle_A4_join[[#This Row],[Transportdistanz.Voreinstellung]]*Baukon_alle_A4_join[[#This Row],[Masse '[kg/m²'] Referenz]]</f>
        <v>2.7101490924363101E-3</v>
      </c>
      <c r="U64" s="132">
        <f>_xlfn.XLOOKUP(Baukon_alle_A4_join[[#This Row],[Transport.Transport-Modus]],LeitRess_Materialien[Name],LeitRess_Materialien[GWP '[kg CO2-Äqu./kg']])*Baukon_alle_A4_join[[#This Row],[Transportdistanz.Voreinstellung]]*Baukon_alle_A4_join[[#This Row],[Masse '[kg/m²'] min]]</f>
        <v>2.7101490924363101E-3</v>
      </c>
      <c r="V64" s="132">
        <f>_xlfn.XLOOKUP(Baukon_alle_A4_join[[#This Row],[Transport.Transport-Modus]],LeitRess_Materialien[Name],LeitRess_Materialien[GWP '[kg CO2-Äqu./kg']])*Baukon_alle_A4_join[[#This Row],[Transportdistanz.Voreinstellung]]*Baukon_alle_A4_join[[#This Row],[Masse '[kg/m²'] max]]</f>
        <v>2.7101490924363101E-3</v>
      </c>
      <c r="W64" s="132">
        <f>_xlfn.XLOOKUP(Baukon_alle_A4_join[[#This Row],[Transport.Transport-Modus]],LeitRess_Materialien[Name],LeitRess_Materialien[PENRT '[MJ/kg']])*Baukon_alle_A4_join[[#This Row],[Transportdistanz.Voreinstellung]]*Baukon_alle_A4_join[[#This Row],[Masse '[kg/m²'] Referenz]]</f>
        <v>1.6909268711999999E-2</v>
      </c>
      <c r="X64" s="132">
        <f>_xlfn.XLOOKUP(Baukon_alle_A4_join[[#This Row],[Transport.Transport-Modus]],LeitRess_Materialien[Name],LeitRess_Materialien[PENRT '[MJ/kg']])*Baukon_alle_A4_join[[#This Row],[Transportdistanz.Voreinstellung]]*Baukon_alle_A4_join[[#This Row],[Masse '[kg/m²'] min]]</f>
        <v>1.6909268711999999E-2</v>
      </c>
      <c r="Y64" s="132">
        <f>_xlfn.XLOOKUP(Baukon_alle_A4_join[[#This Row],[Transport.Transport-Modus]],LeitRess_Materialien[Name],LeitRess_Materialien[PENRT '[MJ/kg']])*Baukon_alle_A4_join[[#This Row],[Transportdistanz.Voreinstellung]]*Baukon_alle_A4_join[[#This Row],[Masse '[kg/m²'] max]]</f>
        <v>1.6909268711999999E-2</v>
      </c>
      <c r="Z64" s="132">
        <f>_xlfn.XLOOKUP(Baukon_alle_A4_join[[#This Row],[Transport.Transport-Modus]],LeitRess_Materialien[Name],LeitRess_Materialien[WDP '[m³ weighted water/kg']])*Baukon_alle_A4_join[[#This Row],[Transportdistanz.Voreinstellung]]*Baukon_alle_A4_join[[#This Row],[Masse '[kg/m²'] Referenz]]</f>
        <v>1.8389527933015962E-4</v>
      </c>
      <c r="AA64" s="132">
        <f>_xlfn.XLOOKUP(Baukon_alle_A4_join[[#This Row],[Transport.Transport-Modus]],LeitRess_Materialien[Name],LeitRess_Materialien[WDP '[m³ weighted water/kg']])*Baukon_alle_A4_join[[#This Row],[Transportdistanz.Voreinstellung]]*Baukon_alle_A4_join[[#This Row],[Masse '[kg/m²'] min]]</f>
        <v>1.8389527933015962E-4</v>
      </c>
      <c r="AB64" s="132">
        <f>_xlfn.XLOOKUP(Baukon_alle_A4_join[[#This Row],[Transport.Transport-Modus]],LeitRess_Materialien[Name],LeitRess_Materialien[WDP '[m³ weighted water/kg']])*Baukon_alle_A4_join[[#This Row],[Transportdistanz.Voreinstellung]]*Baukon_alle_A4_join[[#This Row],[Masse '[kg/m²'] max]]</f>
        <v>1.8389527933015962E-4</v>
      </c>
      <c r="AC64"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4.5027240124723203E-7</v>
      </c>
      <c r="AD64"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4.5027240124723203E-7</v>
      </c>
      <c r="AE64"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4.5027240124723203E-7</v>
      </c>
    </row>
    <row r="65" spans="1:31" x14ac:dyDescent="0.45">
      <c r="A65" t="s">
        <v>117</v>
      </c>
      <c r="B65" t="s">
        <v>342</v>
      </c>
      <c r="C65" t="s">
        <v>343</v>
      </c>
      <c r="D65" t="s">
        <v>119</v>
      </c>
      <c r="E65" t="s">
        <v>344</v>
      </c>
      <c r="F65" t="s">
        <v>273</v>
      </c>
      <c r="G65">
        <v>3.6</v>
      </c>
      <c r="H65">
        <v>2.4</v>
      </c>
      <c r="I65">
        <v>6</v>
      </c>
      <c r="K65" t="s">
        <v>17</v>
      </c>
      <c r="L65" t="s">
        <v>305</v>
      </c>
      <c r="M65" t="s">
        <v>253</v>
      </c>
      <c r="N65" s="132">
        <f>_xlfn.XLOOKUP(Baukon_alle_A4_join[[#This Row],[Transport.Transport-Modus]],LeitRess_Materialien[Name],LeitRess_Materialien[RMI '[kg Primärrohstoffe / kg']])*Baukon_alle_A4_join[[#This Row],[Transportdistanz.Voreinstellung]]*Baukon_alle_A4_join[[#This Row],[Masse '[kg/m²'] Referenz]]</f>
        <v>3.1407890585149825E-2</v>
      </c>
      <c r="O65" s="132">
        <f>_xlfn.XLOOKUP(Baukon_alle_A4_join[[#This Row],[Transport.Transport-Modus]],LeitRess_Materialien[Name],LeitRess_Materialien[RMI '[kg Primärrohstoffe / kg']])*Baukon_alle_A4_join[[#This Row],[Transportdistanz.Voreinstellung]]*Baukon_alle_A4_join[[#This Row],[Masse '[kg/m²'] min]]</f>
        <v>2.0938593723433218E-2</v>
      </c>
      <c r="P65" s="132">
        <f>_xlfn.XLOOKUP(Baukon_alle_A4_join[[#This Row],[Transport.Transport-Modus]],LeitRess_Materialien[Name],LeitRess_Materialien[RMI '[kg Primärrohstoffe / kg']])*Baukon_alle_A4_join[[#This Row],[Transportdistanz.Voreinstellung]]*Baukon_alle_A4_join[[#This Row],[Masse '[kg/m²'] max]]</f>
        <v>5.2346484308583047E-2</v>
      </c>
      <c r="Q65" s="132">
        <f>_xlfn.XLOOKUP(Baukon_alle_A4_join[[#This Row],[Transport.Transport-Modus]],LeitRess_Materialien[Name],LeitRess_Materialien[TMR '[kg Gesamtmaterialaufwand/kg']])*Baukon_alle_A4_join[[#This Row],[Transportdistanz.Voreinstellung]]*Baukon_alle_A4_join[[#This Row],[Masse '[kg/m²'] Referenz]]</f>
        <v>3.7433397038261221E-2</v>
      </c>
      <c r="R65" s="132">
        <f>_xlfn.XLOOKUP(Baukon_alle_A4_join[[#This Row],[Transport.Transport-Modus]],LeitRess_Materialien[Name],LeitRess_Materialien[TMR '[kg Gesamtmaterialaufwand/kg']])*Baukon_alle_A4_join[[#This Row],[Transportdistanz.Voreinstellung]]*Baukon_alle_A4_join[[#This Row],[Masse '[kg/m²'] min]]</f>
        <v>2.4955598025507481E-2</v>
      </c>
      <c r="S65" s="132">
        <f>_xlfn.XLOOKUP(Baukon_alle_A4_join[[#This Row],[Transport.Transport-Modus]],LeitRess_Materialien[Name],LeitRess_Materialien[TMR '[kg Gesamtmaterialaufwand/kg']])*Baukon_alle_A4_join[[#This Row],[Transportdistanz.Voreinstellung]]*Baukon_alle_A4_join[[#This Row],[Masse '[kg/m²'] max]]</f>
        <v>6.2388995063768701E-2</v>
      </c>
      <c r="T65" s="132">
        <f>_xlfn.XLOOKUP(Baukon_alle_A4_join[[#This Row],[Transport.Transport-Modus]],LeitRess_Materialien[Name],LeitRess_Materialien[GWP '[kg CO2-Äqu./kg']])*Baukon_alle_A4_join[[#This Row],[Transportdistanz.Voreinstellung]]*Baukon_alle_A4_join[[#This Row],[Masse '[kg/m²'] Referenz]]</f>
        <v>3.4844774045609699E-2</v>
      </c>
      <c r="U65" s="132">
        <f>_xlfn.XLOOKUP(Baukon_alle_A4_join[[#This Row],[Transport.Transport-Modus]],LeitRess_Materialien[Name],LeitRess_Materialien[GWP '[kg CO2-Äqu./kg']])*Baukon_alle_A4_join[[#This Row],[Transportdistanz.Voreinstellung]]*Baukon_alle_A4_join[[#This Row],[Masse '[kg/m²'] min]]</f>
        <v>2.3229849363739799E-2</v>
      </c>
      <c r="V65" s="132">
        <f>_xlfn.XLOOKUP(Baukon_alle_A4_join[[#This Row],[Transport.Transport-Modus]],LeitRess_Materialien[Name],LeitRess_Materialien[GWP '[kg CO2-Äqu./kg']])*Baukon_alle_A4_join[[#This Row],[Transportdistanz.Voreinstellung]]*Baukon_alle_A4_join[[#This Row],[Masse '[kg/m²'] max]]</f>
        <v>5.8074623409349498E-2</v>
      </c>
      <c r="W65" s="132">
        <f>_xlfn.XLOOKUP(Baukon_alle_A4_join[[#This Row],[Transport.Transport-Modus]],LeitRess_Materialien[Name],LeitRess_Materialien[PENRT '[MJ/kg']])*Baukon_alle_A4_join[[#This Row],[Transportdistanz.Voreinstellung]]*Baukon_alle_A4_join[[#This Row],[Masse '[kg/m²'] Referenz]]</f>
        <v>0.21740488343999997</v>
      </c>
      <c r="X65" s="132">
        <f>_xlfn.XLOOKUP(Baukon_alle_A4_join[[#This Row],[Transport.Transport-Modus]],LeitRess_Materialien[Name],LeitRess_Materialien[PENRT '[MJ/kg']])*Baukon_alle_A4_join[[#This Row],[Transportdistanz.Voreinstellung]]*Baukon_alle_A4_join[[#This Row],[Masse '[kg/m²'] min]]</f>
        <v>0.14493658895999997</v>
      </c>
      <c r="Y65" s="132">
        <f>_xlfn.XLOOKUP(Baukon_alle_A4_join[[#This Row],[Transport.Transport-Modus]],LeitRess_Materialien[Name],LeitRess_Materialien[PENRT '[MJ/kg']])*Baukon_alle_A4_join[[#This Row],[Transportdistanz.Voreinstellung]]*Baukon_alle_A4_join[[#This Row],[Masse '[kg/m²'] max]]</f>
        <v>0.36234147239999998</v>
      </c>
      <c r="Z65" s="132">
        <f>_xlfn.XLOOKUP(Baukon_alle_A4_join[[#This Row],[Transport.Transport-Modus]],LeitRess_Materialien[Name],LeitRess_Materialien[WDP '[m³ weighted water/kg']])*Baukon_alle_A4_join[[#This Row],[Transportdistanz.Voreinstellung]]*Baukon_alle_A4_join[[#This Row],[Masse '[kg/m²'] Referenz]]</f>
        <v>2.364367877102052E-3</v>
      </c>
      <c r="AA65" s="132">
        <f>_xlfn.XLOOKUP(Baukon_alle_A4_join[[#This Row],[Transport.Transport-Modus]],LeitRess_Materialien[Name],LeitRess_Materialien[WDP '[m³ weighted water/kg']])*Baukon_alle_A4_join[[#This Row],[Transportdistanz.Voreinstellung]]*Baukon_alle_A4_join[[#This Row],[Masse '[kg/m²'] min]]</f>
        <v>1.5762452514013678E-3</v>
      </c>
      <c r="AB65" s="132">
        <f>_xlfn.XLOOKUP(Baukon_alle_A4_join[[#This Row],[Transport.Transport-Modus]],LeitRess_Materialien[Name],LeitRess_Materialien[WDP '[m³ weighted water/kg']])*Baukon_alle_A4_join[[#This Row],[Transportdistanz.Voreinstellung]]*Baukon_alle_A4_join[[#This Row],[Masse '[kg/m²'] max]]</f>
        <v>3.9406131285034196E-3</v>
      </c>
      <c r="AC65"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5.7892165874644118E-6</v>
      </c>
      <c r="AD65"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3.8594777249762742E-6</v>
      </c>
      <c r="AE65"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9.6486943124406877E-6</v>
      </c>
    </row>
    <row r="66" spans="1:31" x14ac:dyDescent="0.45">
      <c r="A66" t="s">
        <v>117</v>
      </c>
      <c r="B66" t="s">
        <v>342</v>
      </c>
      <c r="C66" t="s">
        <v>343</v>
      </c>
      <c r="D66" t="s">
        <v>119</v>
      </c>
      <c r="E66" t="s">
        <v>345</v>
      </c>
      <c r="F66" t="s">
        <v>280</v>
      </c>
      <c r="G66">
        <v>5.75</v>
      </c>
      <c r="H66">
        <v>5.75</v>
      </c>
      <c r="I66">
        <v>5.75</v>
      </c>
      <c r="K66" t="s">
        <v>17</v>
      </c>
      <c r="L66" t="s">
        <v>305</v>
      </c>
      <c r="M66" t="s">
        <v>253</v>
      </c>
      <c r="N66" s="132">
        <f>_xlfn.XLOOKUP(Baukon_alle_A4_join[[#This Row],[Transport.Transport-Modus]],LeitRess_Materialien[Name],LeitRess_Materialien[RMI '[kg Primärrohstoffe / kg']])*Baukon_alle_A4_join[[#This Row],[Transportdistanz.Voreinstellung]]*Baukon_alle_A4_join[[#This Row],[Masse '[kg/m²'] Referenz]]</f>
        <v>5.0165380795725419E-2</v>
      </c>
      <c r="O66" s="132">
        <f>_xlfn.XLOOKUP(Baukon_alle_A4_join[[#This Row],[Transport.Transport-Modus]],LeitRess_Materialien[Name],LeitRess_Materialien[RMI '[kg Primärrohstoffe / kg']])*Baukon_alle_A4_join[[#This Row],[Transportdistanz.Voreinstellung]]*Baukon_alle_A4_join[[#This Row],[Masse '[kg/m²'] min]]</f>
        <v>5.0165380795725419E-2</v>
      </c>
      <c r="P66" s="132">
        <f>_xlfn.XLOOKUP(Baukon_alle_A4_join[[#This Row],[Transport.Transport-Modus]],LeitRess_Materialien[Name],LeitRess_Materialien[RMI '[kg Primärrohstoffe / kg']])*Baukon_alle_A4_join[[#This Row],[Transportdistanz.Voreinstellung]]*Baukon_alle_A4_join[[#This Row],[Masse '[kg/m²'] max]]</f>
        <v>5.0165380795725419E-2</v>
      </c>
      <c r="Q66" s="132">
        <f>_xlfn.XLOOKUP(Baukon_alle_A4_join[[#This Row],[Transport.Transport-Modus]],LeitRess_Materialien[Name],LeitRess_Materialien[TMR '[kg Gesamtmaterialaufwand/kg']])*Baukon_alle_A4_join[[#This Row],[Transportdistanz.Voreinstellung]]*Baukon_alle_A4_join[[#This Row],[Masse '[kg/m²'] Referenz]]</f>
        <v>5.978945360277834E-2</v>
      </c>
      <c r="R66" s="132">
        <f>_xlfn.XLOOKUP(Baukon_alle_A4_join[[#This Row],[Transport.Transport-Modus]],LeitRess_Materialien[Name],LeitRess_Materialien[TMR '[kg Gesamtmaterialaufwand/kg']])*Baukon_alle_A4_join[[#This Row],[Transportdistanz.Voreinstellung]]*Baukon_alle_A4_join[[#This Row],[Masse '[kg/m²'] min]]</f>
        <v>5.978945360277834E-2</v>
      </c>
      <c r="S66" s="132">
        <f>_xlfn.XLOOKUP(Baukon_alle_A4_join[[#This Row],[Transport.Transport-Modus]],LeitRess_Materialien[Name],LeitRess_Materialien[TMR '[kg Gesamtmaterialaufwand/kg']])*Baukon_alle_A4_join[[#This Row],[Transportdistanz.Voreinstellung]]*Baukon_alle_A4_join[[#This Row],[Masse '[kg/m²'] max]]</f>
        <v>5.978945360277834E-2</v>
      </c>
      <c r="T66" s="132">
        <f>_xlfn.XLOOKUP(Baukon_alle_A4_join[[#This Row],[Transport.Transport-Modus]],LeitRess_Materialien[Name],LeitRess_Materialien[GWP '[kg CO2-Äqu./kg']])*Baukon_alle_A4_join[[#This Row],[Transportdistanz.Voreinstellung]]*Baukon_alle_A4_join[[#This Row],[Masse '[kg/m²'] Referenz]]</f>
        <v>5.5654847433959938E-2</v>
      </c>
      <c r="U66" s="132">
        <f>_xlfn.XLOOKUP(Baukon_alle_A4_join[[#This Row],[Transport.Transport-Modus]],LeitRess_Materialien[Name],LeitRess_Materialien[GWP '[kg CO2-Äqu./kg']])*Baukon_alle_A4_join[[#This Row],[Transportdistanz.Voreinstellung]]*Baukon_alle_A4_join[[#This Row],[Masse '[kg/m²'] min]]</f>
        <v>5.5654847433959938E-2</v>
      </c>
      <c r="V66" s="132">
        <f>_xlfn.XLOOKUP(Baukon_alle_A4_join[[#This Row],[Transport.Transport-Modus]],LeitRess_Materialien[Name],LeitRess_Materialien[GWP '[kg CO2-Äqu./kg']])*Baukon_alle_A4_join[[#This Row],[Transportdistanz.Voreinstellung]]*Baukon_alle_A4_join[[#This Row],[Masse '[kg/m²'] max]]</f>
        <v>5.5654847433959938E-2</v>
      </c>
      <c r="W66" s="132">
        <f>_xlfn.XLOOKUP(Baukon_alle_A4_join[[#This Row],[Transport.Transport-Modus]],LeitRess_Materialien[Name],LeitRess_Materialien[PENRT '[MJ/kg']])*Baukon_alle_A4_join[[#This Row],[Transportdistanz.Voreinstellung]]*Baukon_alle_A4_join[[#This Row],[Masse '[kg/m²'] Referenz]]</f>
        <v>0.34724391104999996</v>
      </c>
      <c r="X66" s="132">
        <f>_xlfn.XLOOKUP(Baukon_alle_A4_join[[#This Row],[Transport.Transport-Modus]],LeitRess_Materialien[Name],LeitRess_Materialien[PENRT '[MJ/kg']])*Baukon_alle_A4_join[[#This Row],[Transportdistanz.Voreinstellung]]*Baukon_alle_A4_join[[#This Row],[Masse '[kg/m²'] min]]</f>
        <v>0.34724391104999996</v>
      </c>
      <c r="Y66" s="132">
        <f>_xlfn.XLOOKUP(Baukon_alle_A4_join[[#This Row],[Transport.Transport-Modus]],LeitRess_Materialien[Name],LeitRess_Materialien[PENRT '[MJ/kg']])*Baukon_alle_A4_join[[#This Row],[Transportdistanz.Voreinstellung]]*Baukon_alle_A4_join[[#This Row],[Masse '[kg/m²'] max]]</f>
        <v>0.34724391104999996</v>
      </c>
      <c r="Z66" s="132">
        <f>_xlfn.XLOOKUP(Baukon_alle_A4_join[[#This Row],[Transport.Transport-Modus]],LeitRess_Materialien[Name],LeitRess_Materialien[WDP '[m³ weighted water/kg']])*Baukon_alle_A4_join[[#This Row],[Transportdistanz.Voreinstellung]]*Baukon_alle_A4_join[[#This Row],[Masse '[kg/m²'] Referenz]]</f>
        <v>3.7764209148157773E-3</v>
      </c>
      <c r="AA66" s="132">
        <f>_xlfn.XLOOKUP(Baukon_alle_A4_join[[#This Row],[Transport.Transport-Modus]],LeitRess_Materialien[Name],LeitRess_Materialien[WDP '[m³ weighted water/kg']])*Baukon_alle_A4_join[[#This Row],[Transportdistanz.Voreinstellung]]*Baukon_alle_A4_join[[#This Row],[Masse '[kg/m²'] min]]</f>
        <v>3.7764209148157773E-3</v>
      </c>
      <c r="AB66" s="132">
        <f>_xlfn.XLOOKUP(Baukon_alle_A4_join[[#This Row],[Transport.Transport-Modus]],LeitRess_Materialien[Name],LeitRess_Materialien[WDP '[m³ weighted water/kg']])*Baukon_alle_A4_join[[#This Row],[Transportdistanz.Voreinstellung]]*Baukon_alle_A4_join[[#This Row],[Masse '[kg/m²'] max]]</f>
        <v>3.7764209148157773E-3</v>
      </c>
      <c r="AC66"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9.2466653827556575E-6</v>
      </c>
      <c r="AD66"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9.2466653827556575E-6</v>
      </c>
      <c r="AE66"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9.2466653827556575E-6</v>
      </c>
    </row>
    <row r="67" spans="1:31" x14ac:dyDescent="0.45">
      <c r="A67" t="s">
        <v>117</v>
      </c>
      <c r="B67" t="s">
        <v>342</v>
      </c>
      <c r="C67" t="s">
        <v>343</v>
      </c>
      <c r="D67" t="s">
        <v>119</v>
      </c>
      <c r="E67" t="s">
        <v>346</v>
      </c>
      <c r="F67" t="s">
        <v>287</v>
      </c>
      <c r="G67">
        <v>74</v>
      </c>
      <c r="H67">
        <v>74</v>
      </c>
      <c r="I67">
        <v>74</v>
      </c>
      <c r="K67" t="s">
        <v>17</v>
      </c>
      <c r="L67" t="s">
        <v>305</v>
      </c>
      <c r="M67" t="s">
        <v>253</v>
      </c>
      <c r="N67" s="132">
        <f>_xlfn.XLOOKUP(Baukon_alle_A4_join[[#This Row],[Transport.Transport-Modus]],LeitRess_Materialien[Name],LeitRess_Materialien[RMI '[kg Primärrohstoffe / kg']])*Baukon_alle_A4_join[[#This Row],[Transportdistanz.Voreinstellung]]*Baukon_alle_A4_join[[#This Row],[Masse '[kg/m²'] Referenz]]</f>
        <v>0.64560663980585753</v>
      </c>
      <c r="O67" s="132">
        <f>_xlfn.XLOOKUP(Baukon_alle_A4_join[[#This Row],[Transport.Transport-Modus]],LeitRess_Materialien[Name],LeitRess_Materialien[RMI '[kg Primärrohstoffe / kg']])*Baukon_alle_A4_join[[#This Row],[Transportdistanz.Voreinstellung]]*Baukon_alle_A4_join[[#This Row],[Masse '[kg/m²'] min]]</f>
        <v>0.64560663980585753</v>
      </c>
      <c r="P67" s="132">
        <f>_xlfn.XLOOKUP(Baukon_alle_A4_join[[#This Row],[Transport.Transport-Modus]],LeitRess_Materialien[Name],LeitRess_Materialien[RMI '[kg Primärrohstoffe / kg']])*Baukon_alle_A4_join[[#This Row],[Transportdistanz.Voreinstellung]]*Baukon_alle_A4_join[[#This Row],[Masse '[kg/m²'] max]]</f>
        <v>0.64560663980585753</v>
      </c>
      <c r="Q67" s="132">
        <f>_xlfn.XLOOKUP(Baukon_alle_A4_join[[#This Row],[Transport.Transport-Modus]],LeitRess_Materialien[Name],LeitRess_Materialien[TMR '[kg Gesamtmaterialaufwand/kg']])*Baukon_alle_A4_join[[#This Row],[Transportdistanz.Voreinstellung]]*Baukon_alle_A4_join[[#This Row],[Masse '[kg/m²'] Referenz]]</f>
        <v>0.7694642724531473</v>
      </c>
      <c r="R67" s="132">
        <f>_xlfn.XLOOKUP(Baukon_alle_A4_join[[#This Row],[Transport.Transport-Modus]],LeitRess_Materialien[Name],LeitRess_Materialien[TMR '[kg Gesamtmaterialaufwand/kg']])*Baukon_alle_A4_join[[#This Row],[Transportdistanz.Voreinstellung]]*Baukon_alle_A4_join[[#This Row],[Masse '[kg/m²'] min]]</f>
        <v>0.7694642724531473</v>
      </c>
      <c r="S67" s="132">
        <f>_xlfn.XLOOKUP(Baukon_alle_A4_join[[#This Row],[Transport.Transport-Modus]],LeitRess_Materialien[Name],LeitRess_Materialien[TMR '[kg Gesamtmaterialaufwand/kg']])*Baukon_alle_A4_join[[#This Row],[Transportdistanz.Voreinstellung]]*Baukon_alle_A4_join[[#This Row],[Masse '[kg/m²'] max]]</f>
        <v>0.7694642724531473</v>
      </c>
      <c r="T67" s="132">
        <f>_xlfn.XLOOKUP(Baukon_alle_A4_join[[#This Row],[Transport.Transport-Modus]],LeitRess_Materialien[Name],LeitRess_Materialien[GWP '[kg CO2-Äqu./kg']])*Baukon_alle_A4_join[[#This Row],[Transportdistanz.Voreinstellung]]*Baukon_alle_A4_join[[#This Row],[Masse '[kg/m²'] Referenz]]</f>
        <v>0.71625368871531048</v>
      </c>
      <c r="U67" s="132">
        <f>_xlfn.XLOOKUP(Baukon_alle_A4_join[[#This Row],[Transport.Transport-Modus]],LeitRess_Materialien[Name],LeitRess_Materialien[GWP '[kg CO2-Äqu./kg']])*Baukon_alle_A4_join[[#This Row],[Transportdistanz.Voreinstellung]]*Baukon_alle_A4_join[[#This Row],[Masse '[kg/m²'] min]]</f>
        <v>0.71625368871531048</v>
      </c>
      <c r="V67" s="132">
        <f>_xlfn.XLOOKUP(Baukon_alle_A4_join[[#This Row],[Transport.Transport-Modus]],LeitRess_Materialien[Name],LeitRess_Materialien[GWP '[kg CO2-Äqu./kg']])*Baukon_alle_A4_join[[#This Row],[Transportdistanz.Voreinstellung]]*Baukon_alle_A4_join[[#This Row],[Masse '[kg/m²'] max]]</f>
        <v>0.71625368871531048</v>
      </c>
      <c r="W67" s="132">
        <f>_xlfn.XLOOKUP(Baukon_alle_A4_join[[#This Row],[Transport.Transport-Modus]],LeitRess_Materialien[Name],LeitRess_Materialien[PENRT '[MJ/kg']])*Baukon_alle_A4_join[[#This Row],[Transportdistanz.Voreinstellung]]*Baukon_alle_A4_join[[#This Row],[Masse '[kg/m²'] Referenz]]</f>
        <v>4.4688781595999991</v>
      </c>
      <c r="X67" s="132">
        <f>_xlfn.XLOOKUP(Baukon_alle_A4_join[[#This Row],[Transport.Transport-Modus]],LeitRess_Materialien[Name],LeitRess_Materialien[PENRT '[MJ/kg']])*Baukon_alle_A4_join[[#This Row],[Transportdistanz.Voreinstellung]]*Baukon_alle_A4_join[[#This Row],[Masse '[kg/m²'] min]]</f>
        <v>4.4688781595999991</v>
      </c>
      <c r="Y67" s="132">
        <f>_xlfn.XLOOKUP(Baukon_alle_A4_join[[#This Row],[Transport.Transport-Modus]],LeitRess_Materialien[Name],LeitRess_Materialien[PENRT '[MJ/kg']])*Baukon_alle_A4_join[[#This Row],[Transportdistanz.Voreinstellung]]*Baukon_alle_A4_join[[#This Row],[Masse '[kg/m²'] max]]</f>
        <v>4.4688781595999991</v>
      </c>
      <c r="Z67" s="132">
        <f>_xlfn.XLOOKUP(Baukon_alle_A4_join[[#This Row],[Transport.Transport-Modus]],LeitRess_Materialien[Name],LeitRess_Materialien[WDP '[m³ weighted water/kg']])*Baukon_alle_A4_join[[#This Row],[Transportdistanz.Voreinstellung]]*Baukon_alle_A4_join[[#This Row],[Masse '[kg/m²'] Referenz]]</f>
        <v>4.8600895251542181E-2</v>
      </c>
      <c r="AA67" s="132">
        <f>_xlfn.XLOOKUP(Baukon_alle_A4_join[[#This Row],[Transport.Transport-Modus]],LeitRess_Materialien[Name],LeitRess_Materialien[WDP '[m³ weighted water/kg']])*Baukon_alle_A4_join[[#This Row],[Transportdistanz.Voreinstellung]]*Baukon_alle_A4_join[[#This Row],[Masse '[kg/m²'] min]]</f>
        <v>4.8600895251542181E-2</v>
      </c>
      <c r="AB67" s="132">
        <f>_xlfn.XLOOKUP(Baukon_alle_A4_join[[#This Row],[Transport.Transport-Modus]],LeitRess_Materialien[Name],LeitRess_Materialien[WDP '[m³ weighted water/kg']])*Baukon_alle_A4_join[[#This Row],[Transportdistanz.Voreinstellung]]*Baukon_alle_A4_join[[#This Row],[Masse '[kg/m²'] max]]</f>
        <v>4.8600895251542181E-2</v>
      </c>
      <c r="AC67"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1.1900056318676848E-4</v>
      </c>
      <c r="AD67"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1.1900056318676848E-4</v>
      </c>
      <c r="AE67"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1.1900056318676848E-4</v>
      </c>
    </row>
    <row r="68" spans="1:31" x14ac:dyDescent="0.45">
      <c r="A68" t="s">
        <v>117</v>
      </c>
      <c r="B68" t="s">
        <v>347</v>
      </c>
      <c r="C68" t="s">
        <v>312</v>
      </c>
      <c r="D68" t="s">
        <v>118</v>
      </c>
      <c r="E68" t="s">
        <v>319</v>
      </c>
      <c r="F68" t="s">
        <v>282</v>
      </c>
      <c r="G68">
        <v>0.28000000000000003</v>
      </c>
      <c r="H68">
        <v>0.28000000000000003</v>
      </c>
      <c r="I68">
        <v>0.28000000000000003</v>
      </c>
      <c r="K68" t="s">
        <v>17</v>
      </c>
      <c r="L68" t="s">
        <v>305</v>
      </c>
      <c r="M68" t="s">
        <v>253</v>
      </c>
      <c r="N68" s="132">
        <f>_xlfn.XLOOKUP(Baukon_alle_A4_join[[#This Row],[Transport.Transport-Modus]],LeitRess_Materialien[Name],LeitRess_Materialien[RMI '[kg Primärrohstoffe / kg']])*Baukon_alle_A4_join[[#This Row],[Transportdistanz.Voreinstellung]]*Baukon_alle_A4_join[[#This Row],[Masse '[kg/m²'] Referenz]]</f>
        <v>2.4428359344005422E-3</v>
      </c>
      <c r="O68" s="132">
        <f>_xlfn.XLOOKUP(Baukon_alle_A4_join[[#This Row],[Transport.Transport-Modus]],LeitRess_Materialien[Name],LeitRess_Materialien[RMI '[kg Primärrohstoffe / kg']])*Baukon_alle_A4_join[[#This Row],[Transportdistanz.Voreinstellung]]*Baukon_alle_A4_join[[#This Row],[Masse '[kg/m²'] min]]</f>
        <v>2.4428359344005422E-3</v>
      </c>
      <c r="P68" s="132">
        <f>_xlfn.XLOOKUP(Baukon_alle_A4_join[[#This Row],[Transport.Transport-Modus]],LeitRess_Materialien[Name],LeitRess_Materialien[RMI '[kg Primärrohstoffe / kg']])*Baukon_alle_A4_join[[#This Row],[Transportdistanz.Voreinstellung]]*Baukon_alle_A4_join[[#This Row],[Masse '[kg/m²'] max]]</f>
        <v>2.4428359344005422E-3</v>
      </c>
      <c r="Q68" s="132">
        <f>_xlfn.XLOOKUP(Baukon_alle_A4_join[[#This Row],[Transport.Transport-Modus]],LeitRess_Materialien[Name],LeitRess_Materialien[TMR '[kg Gesamtmaterialaufwand/kg']])*Baukon_alle_A4_join[[#This Row],[Transportdistanz.Voreinstellung]]*Baukon_alle_A4_join[[#This Row],[Masse '[kg/m²'] Referenz]]</f>
        <v>2.9114864363092062E-3</v>
      </c>
      <c r="R68" s="132">
        <f>_xlfn.XLOOKUP(Baukon_alle_A4_join[[#This Row],[Transport.Transport-Modus]],LeitRess_Materialien[Name],LeitRess_Materialien[TMR '[kg Gesamtmaterialaufwand/kg']])*Baukon_alle_A4_join[[#This Row],[Transportdistanz.Voreinstellung]]*Baukon_alle_A4_join[[#This Row],[Masse '[kg/m²'] min]]</f>
        <v>2.9114864363092062E-3</v>
      </c>
      <c r="S68" s="132">
        <f>_xlfn.XLOOKUP(Baukon_alle_A4_join[[#This Row],[Transport.Transport-Modus]],LeitRess_Materialien[Name],LeitRess_Materialien[TMR '[kg Gesamtmaterialaufwand/kg']])*Baukon_alle_A4_join[[#This Row],[Transportdistanz.Voreinstellung]]*Baukon_alle_A4_join[[#This Row],[Masse '[kg/m²'] max]]</f>
        <v>2.9114864363092062E-3</v>
      </c>
      <c r="T68" s="132">
        <f>_xlfn.XLOOKUP(Baukon_alle_A4_join[[#This Row],[Transport.Transport-Modus]],LeitRess_Materialien[Name],LeitRess_Materialien[GWP '[kg CO2-Äqu./kg']])*Baukon_alle_A4_join[[#This Row],[Transportdistanz.Voreinstellung]]*Baukon_alle_A4_join[[#This Row],[Masse '[kg/m²'] Referenz]]</f>
        <v>2.7101490924363101E-3</v>
      </c>
      <c r="U68" s="132">
        <f>_xlfn.XLOOKUP(Baukon_alle_A4_join[[#This Row],[Transport.Transport-Modus]],LeitRess_Materialien[Name],LeitRess_Materialien[GWP '[kg CO2-Äqu./kg']])*Baukon_alle_A4_join[[#This Row],[Transportdistanz.Voreinstellung]]*Baukon_alle_A4_join[[#This Row],[Masse '[kg/m²'] min]]</f>
        <v>2.7101490924363101E-3</v>
      </c>
      <c r="V68" s="132">
        <f>_xlfn.XLOOKUP(Baukon_alle_A4_join[[#This Row],[Transport.Transport-Modus]],LeitRess_Materialien[Name],LeitRess_Materialien[GWP '[kg CO2-Äqu./kg']])*Baukon_alle_A4_join[[#This Row],[Transportdistanz.Voreinstellung]]*Baukon_alle_A4_join[[#This Row],[Masse '[kg/m²'] max]]</f>
        <v>2.7101490924363101E-3</v>
      </c>
      <c r="W68" s="132">
        <f>_xlfn.XLOOKUP(Baukon_alle_A4_join[[#This Row],[Transport.Transport-Modus]],LeitRess_Materialien[Name],LeitRess_Materialien[PENRT '[MJ/kg']])*Baukon_alle_A4_join[[#This Row],[Transportdistanz.Voreinstellung]]*Baukon_alle_A4_join[[#This Row],[Masse '[kg/m²'] Referenz]]</f>
        <v>1.6909268711999999E-2</v>
      </c>
      <c r="X68" s="132">
        <f>_xlfn.XLOOKUP(Baukon_alle_A4_join[[#This Row],[Transport.Transport-Modus]],LeitRess_Materialien[Name],LeitRess_Materialien[PENRT '[MJ/kg']])*Baukon_alle_A4_join[[#This Row],[Transportdistanz.Voreinstellung]]*Baukon_alle_A4_join[[#This Row],[Masse '[kg/m²'] min]]</f>
        <v>1.6909268711999999E-2</v>
      </c>
      <c r="Y68" s="132">
        <f>_xlfn.XLOOKUP(Baukon_alle_A4_join[[#This Row],[Transport.Transport-Modus]],LeitRess_Materialien[Name],LeitRess_Materialien[PENRT '[MJ/kg']])*Baukon_alle_A4_join[[#This Row],[Transportdistanz.Voreinstellung]]*Baukon_alle_A4_join[[#This Row],[Masse '[kg/m²'] max]]</f>
        <v>1.6909268711999999E-2</v>
      </c>
      <c r="Z68" s="132">
        <f>_xlfn.XLOOKUP(Baukon_alle_A4_join[[#This Row],[Transport.Transport-Modus]],LeitRess_Materialien[Name],LeitRess_Materialien[WDP '[m³ weighted water/kg']])*Baukon_alle_A4_join[[#This Row],[Transportdistanz.Voreinstellung]]*Baukon_alle_A4_join[[#This Row],[Masse '[kg/m²'] Referenz]]</f>
        <v>1.8389527933015962E-4</v>
      </c>
      <c r="AA68" s="132">
        <f>_xlfn.XLOOKUP(Baukon_alle_A4_join[[#This Row],[Transport.Transport-Modus]],LeitRess_Materialien[Name],LeitRess_Materialien[WDP '[m³ weighted water/kg']])*Baukon_alle_A4_join[[#This Row],[Transportdistanz.Voreinstellung]]*Baukon_alle_A4_join[[#This Row],[Masse '[kg/m²'] min]]</f>
        <v>1.8389527933015962E-4</v>
      </c>
      <c r="AB68" s="132">
        <f>_xlfn.XLOOKUP(Baukon_alle_A4_join[[#This Row],[Transport.Transport-Modus]],LeitRess_Materialien[Name],LeitRess_Materialien[WDP '[m³ weighted water/kg']])*Baukon_alle_A4_join[[#This Row],[Transportdistanz.Voreinstellung]]*Baukon_alle_A4_join[[#This Row],[Masse '[kg/m²'] max]]</f>
        <v>1.8389527933015962E-4</v>
      </c>
      <c r="AC68"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4.5027240124723203E-7</v>
      </c>
      <c r="AD68"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4.5027240124723203E-7</v>
      </c>
      <c r="AE68"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4.5027240124723203E-7</v>
      </c>
    </row>
    <row r="69" spans="1:31" x14ac:dyDescent="0.45">
      <c r="A69" t="s">
        <v>117</v>
      </c>
      <c r="B69" t="s">
        <v>347</v>
      </c>
      <c r="C69" t="s">
        <v>312</v>
      </c>
      <c r="D69" t="s">
        <v>118</v>
      </c>
      <c r="E69" t="s">
        <v>243</v>
      </c>
      <c r="F69" t="s">
        <v>243</v>
      </c>
      <c r="G69">
        <v>1.97</v>
      </c>
      <c r="H69">
        <v>1.97</v>
      </c>
      <c r="I69">
        <v>1.97</v>
      </c>
      <c r="K69" t="s">
        <v>17</v>
      </c>
      <c r="L69" t="s">
        <v>305</v>
      </c>
      <c r="M69" t="s">
        <v>253</v>
      </c>
      <c r="N69" s="132">
        <f>_xlfn.XLOOKUP(Baukon_alle_A4_join[[#This Row],[Transport.Transport-Modus]],LeitRess_Materialien[Name],LeitRess_Materialien[RMI '[kg Primärrohstoffe / kg']])*Baukon_alle_A4_join[[#This Row],[Transportdistanz.Voreinstellung]]*Baukon_alle_A4_join[[#This Row],[Masse '[kg/m²'] Referenz]]</f>
        <v>1.7187095681318099E-2</v>
      </c>
      <c r="O69" s="132">
        <f>_xlfn.XLOOKUP(Baukon_alle_A4_join[[#This Row],[Transport.Transport-Modus]],LeitRess_Materialien[Name],LeitRess_Materialien[RMI '[kg Primärrohstoffe / kg']])*Baukon_alle_A4_join[[#This Row],[Transportdistanz.Voreinstellung]]*Baukon_alle_A4_join[[#This Row],[Masse '[kg/m²'] min]]</f>
        <v>1.7187095681318099E-2</v>
      </c>
      <c r="P69" s="132">
        <f>_xlfn.XLOOKUP(Baukon_alle_A4_join[[#This Row],[Transport.Transport-Modus]],LeitRess_Materialien[Name],LeitRess_Materialien[RMI '[kg Primärrohstoffe / kg']])*Baukon_alle_A4_join[[#This Row],[Transportdistanz.Voreinstellung]]*Baukon_alle_A4_join[[#This Row],[Masse '[kg/m²'] max]]</f>
        <v>1.7187095681318099E-2</v>
      </c>
      <c r="Q69" s="132">
        <f>_xlfn.XLOOKUP(Baukon_alle_A4_join[[#This Row],[Transport.Transport-Modus]],LeitRess_Materialien[Name],LeitRess_Materialien[TMR '[kg Gesamtmaterialaufwand/kg']])*Baukon_alle_A4_join[[#This Row],[Transportdistanz.Voreinstellung]]*Baukon_alle_A4_join[[#This Row],[Masse '[kg/m²'] Referenz]]</f>
        <v>2.0484386712604056E-2</v>
      </c>
      <c r="R69" s="132">
        <f>_xlfn.XLOOKUP(Baukon_alle_A4_join[[#This Row],[Transport.Transport-Modus]],LeitRess_Materialien[Name],LeitRess_Materialien[TMR '[kg Gesamtmaterialaufwand/kg']])*Baukon_alle_A4_join[[#This Row],[Transportdistanz.Voreinstellung]]*Baukon_alle_A4_join[[#This Row],[Masse '[kg/m²'] min]]</f>
        <v>2.0484386712604056E-2</v>
      </c>
      <c r="S69" s="132">
        <f>_xlfn.XLOOKUP(Baukon_alle_A4_join[[#This Row],[Transport.Transport-Modus]],LeitRess_Materialien[Name],LeitRess_Materialien[TMR '[kg Gesamtmaterialaufwand/kg']])*Baukon_alle_A4_join[[#This Row],[Transportdistanz.Voreinstellung]]*Baukon_alle_A4_join[[#This Row],[Masse '[kg/m²'] max]]</f>
        <v>2.0484386712604056E-2</v>
      </c>
      <c r="T69" s="132">
        <f>_xlfn.XLOOKUP(Baukon_alle_A4_join[[#This Row],[Transport.Transport-Modus]],LeitRess_Materialien[Name],LeitRess_Materialien[GWP '[kg CO2-Äqu./kg']])*Baukon_alle_A4_join[[#This Row],[Transportdistanz.Voreinstellung]]*Baukon_alle_A4_join[[#This Row],[Masse '[kg/m²'] Referenz]]</f>
        <v>1.9067834686069752E-2</v>
      </c>
      <c r="U69" s="132">
        <f>_xlfn.XLOOKUP(Baukon_alle_A4_join[[#This Row],[Transport.Transport-Modus]],LeitRess_Materialien[Name],LeitRess_Materialien[GWP '[kg CO2-Äqu./kg']])*Baukon_alle_A4_join[[#This Row],[Transportdistanz.Voreinstellung]]*Baukon_alle_A4_join[[#This Row],[Masse '[kg/m²'] min]]</f>
        <v>1.9067834686069752E-2</v>
      </c>
      <c r="V69" s="132">
        <f>_xlfn.XLOOKUP(Baukon_alle_A4_join[[#This Row],[Transport.Transport-Modus]],LeitRess_Materialien[Name],LeitRess_Materialien[GWP '[kg CO2-Äqu./kg']])*Baukon_alle_A4_join[[#This Row],[Transportdistanz.Voreinstellung]]*Baukon_alle_A4_join[[#This Row],[Masse '[kg/m²'] max]]</f>
        <v>1.9067834686069752E-2</v>
      </c>
      <c r="W69" s="132">
        <f>_xlfn.XLOOKUP(Baukon_alle_A4_join[[#This Row],[Transport.Transport-Modus]],LeitRess_Materialien[Name],LeitRess_Materialien[PENRT '[MJ/kg']])*Baukon_alle_A4_join[[#This Row],[Transportdistanz.Voreinstellung]]*Baukon_alle_A4_join[[#This Row],[Masse '[kg/m²'] Referenz]]</f>
        <v>0.11896878343799999</v>
      </c>
      <c r="X69" s="132">
        <f>_xlfn.XLOOKUP(Baukon_alle_A4_join[[#This Row],[Transport.Transport-Modus]],LeitRess_Materialien[Name],LeitRess_Materialien[PENRT '[MJ/kg']])*Baukon_alle_A4_join[[#This Row],[Transportdistanz.Voreinstellung]]*Baukon_alle_A4_join[[#This Row],[Masse '[kg/m²'] min]]</f>
        <v>0.11896878343799999</v>
      </c>
      <c r="Y69" s="132">
        <f>_xlfn.XLOOKUP(Baukon_alle_A4_join[[#This Row],[Transport.Transport-Modus]],LeitRess_Materialien[Name],LeitRess_Materialien[PENRT '[MJ/kg']])*Baukon_alle_A4_join[[#This Row],[Transportdistanz.Voreinstellung]]*Baukon_alle_A4_join[[#This Row],[Masse '[kg/m²'] max]]</f>
        <v>0.11896878343799999</v>
      </c>
      <c r="Z69" s="132">
        <f>_xlfn.XLOOKUP(Baukon_alle_A4_join[[#This Row],[Transport.Transport-Modus]],LeitRess_Materialien[Name],LeitRess_Materialien[WDP '[m³ weighted water/kg']])*Baukon_alle_A4_join[[#This Row],[Transportdistanz.Voreinstellung]]*Baukon_alle_A4_join[[#This Row],[Masse '[kg/m²'] Referenz]]</f>
        <v>1.2938346438586229E-3</v>
      </c>
      <c r="AA69" s="132">
        <f>_xlfn.XLOOKUP(Baukon_alle_A4_join[[#This Row],[Transport.Transport-Modus]],LeitRess_Materialien[Name],LeitRess_Materialien[WDP '[m³ weighted water/kg']])*Baukon_alle_A4_join[[#This Row],[Transportdistanz.Voreinstellung]]*Baukon_alle_A4_join[[#This Row],[Masse '[kg/m²'] min]]</f>
        <v>1.2938346438586229E-3</v>
      </c>
      <c r="AB69" s="132">
        <f>_xlfn.XLOOKUP(Baukon_alle_A4_join[[#This Row],[Transport.Transport-Modus]],LeitRess_Materialien[Name],LeitRess_Materialien[WDP '[m³ weighted water/kg']])*Baukon_alle_A4_join[[#This Row],[Transportdistanz.Voreinstellung]]*Baukon_alle_A4_join[[#This Row],[Masse '[kg/m²'] max]]</f>
        <v>1.2938346438586229E-3</v>
      </c>
      <c r="AC69"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3.1679879659180256E-6</v>
      </c>
      <c r="AD69"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3.1679879659180256E-6</v>
      </c>
      <c r="AE69"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3.1679879659180256E-6</v>
      </c>
    </row>
    <row r="70" spans="1:31" x14ac:dyDescent="0.45">
      <c r="A70" t="s">
        <v>117</v>
      </c>
      <c r="B70" t="s">
        <v>347</v>
      </c>
      <c r="C70" t="s">
        <v>312</v>
      </c>
      <c r="D70" t="s">
        <v>118</v>
      </c>
      <c r="E70" t="s">
        <v>348</v>
      </c>
      <c r="F70" t="s">
        <v>227</v>
      </c>
      <c r="G70">
        <v>5.36</v>
      </c>
      <c r="H70">
        <v>3.58</v>
      </c>
      <c r="I70">
        <v>8.94</v>
      </c>
      <c r="K70" t="s">
        <v>17</v>
      </c>
      <c r="L70" t="s">
        <v>305</v>
      </c>
      <c r="M70" t="s">
        <v>253</v>
      </c>
      <c r="N70" s="132">
        <f>_xlfn.XLOOKUP(Baukon_alle_A4_join[[#This Row],[Transport.Transport-Modus]],LeitRess_Materialien[Name],LeitRess_Materialien[RMI '[kg Primärrohstoffe / kg']])*Baukon_alle_A4_join[[#This Row],[Transportdistanz.Voreinstellung]]*Baukon_alle_A4_join[[#This Row],[Masse '[kg/m²'] Referenz]]</f>
        <v>4.6762859315667524E-2</v>
      </c>
      <c r="O70" s="132">
        <f>_xlfn.XLOOKUP(Baukon_alle_A4_join[[#This Row],[Transport.Transport-Modus]],LeitRess_Materialien[Name],LeitRess_Materialien[RMI '[kg Primärrohstoffe / kg']])*Baukon_alle_A4_join[[#This Row],[Transportdistanz.Voreinstellung]]*Baukon_alle_A4_join[[#This Row],[Masse '[kg/m²'] min]]</f>
        <v>3.1233402304121215E-2</v>
      </c>
      <c r="P70" s="132">
        <f>_xlfn.XLOOKUP(Baukon_alle_A4_join[[#This Row],[Transport.Transport-Modus]],LeitRess_Materialien[Name],LeitRess_Materialien[RMI '[kg Primärrohstoffe / kg']])*Baukon_alle_A4_join[[#This Row],[Transportdistanz.Voreinstellung]]*Baukon_alle_A4_join[[#This Row],[Masse '[kg/m²'] max]]</f>
        <v>7.7996261619788732E-2</v>
      </c>
      <c r="Q70" s="132">
        <f>_xlfn.XLOOKUP(Baukon_alle_A4_join[[#This Row],[Transport.Transport-Modus]],LeitRess_Materialien[Name],LeitRess_Materialien[TMR '[kg Gesamtmaterialaufwand/kg']])*Baukon_alle_A4_join[[#This Row],[Transportdistanz.Voreinstellung]]*Baukon_alle_A4_join[[#This Row],[Masse '[kg/m²'] Referenz]]</f>
        <v>5.5734168923633379E-2</v>
      </c>
      <c r="R70" s="132">
        <f>_xlfn.XLOOKUP(Baukon_alle_A4_join[[#This Row],[Transport.Transport-Modus]],LeitRess_Materialien[Name],LeitRess_Materialien[TMR '[kg Gesamtmaterialaufwand/kg']])*Baukon_alle_A4_join[[#This Row],[Transportdistanz.Voreinstellung]]*Baukon_alle_A4_join[[#This Row],[Masse '[kg/m²'] min]]</f>
        <v>3.7225433721381991E-2</v>
      </c>
      <c r="S70" s="132">
        <f>_xlfn.XLOOKUP(Baukon_alle_A4_join[[#This Row],[Transport.Transport-Modus]],LeitRess_Materialien[Name],LeitRess_Materialien[TMR '[kg Gesamtmaterialaufwand/kg']])*Baukon_alle_A4_join[[#This Row],[Transportdistanz.Voreinstellung]]*Baukon_alle_A4_join[[#This Row],[Masse '[kg/m²'] max]]</f>
        <v>9.2959602645015363E-2</v>
      </c>
      <c r="T70" s="132">
        <f>_xlfn.XLOOKUP(Baukon_alle_A4_join[[#This Row],[Transport.Transport-Modus]],LeitRess_Materialien[Name],LeitRess_Materialien[GWP '[kg CO2-Äqu./kg']])*Baukon_alle_A4_join[[#This Row],[Transportdistanz.Voreinstellung]]*Baukon_alle_A4_join[[#This Row],[Masse '[kg/m²'] Referenz]]</f>
        <v>5.1879996912352219E-2</v>
      </c>
      <c r="U70" s="132">
        <f>_xlfn.XLOOKUP(Baukon_alle_A4_join[[#This Row],[Transport.Transport-Modus]],LeitRess_Materialien[Name],LeitRess_Materialien[GWP '[kg CO2-Äqu./kg']])*Baukon_alle_A4_join[[#This Row],[Transportdistanz.Voreinstellung]]*Baukon_alle_A4_join[[#This Row],[Masse '[kg/m²'] min]]</f>
        <v>3.4651191967578536E-2</v>
      </c>
      <c r="V70" s="132">
        <f>_xlfn.XLOOKUP(Baukon_alle_A4_join[[#This Row],[Transport.Transport-Modus]],LeitRess_Materialien[Name],LeitRess_Materialien[GWP '[kg CO2-Äqu./kg']])*Baukon_alle_A4_join[[#This Row],[Transportdistanz.Voreinstellung]]*Baukon_alle_A4_join[[#This Row],[Masse '[kg/m²'] max]]</f>
        <v>8.6531188879930748E-2</v>
      </c>
      <c r="W70" s="132">
        <f>_xlfn.XLOOKUP(Baukon_alle_A4_join[[#This Row],[Transport.Transport-Modus]],LeitRess_Materialien[Name],LeitRess_Materialien[PENRT '[MJ/kg']])*Baukon_alle_A4_join[[#This Row],[Transportdistanz.Voreinstellung]]*Baukon_alle_A4_join[[#This Row],[Masse '[kg/m²'] Referenz]]</f>
        <v>0.32369171534399999</v>
      </c>
      <c r="X70" s="132">
        <f>_xlfn.XLOOKUP(Baukon_alle_A4_join[[#This Row],[Transport.Transport-Modus]],LeitRess_Materialien[Name],LeitRess_Materialien[PENRT '[MJ/kg']])*Baukon_alle_A4_join[[#This Row],[Transportdistanz.Voreinstellung]]*Baukon_alle_A4_join[[#This Row],[Masse '[kg/m²'] min]]</f>
        <v>0.21619707853199999</v>
      </c>
      <c r="Y70" s="132">
        <f>_xlfn.XLOOKUP(Baukon_alle_A4_join[[#This Row],[Transport.Transport-Modus]],LeitRess_Materialien[Name],LeitRess_Materialien[PENRT '[MJ/kg']])*Baukon_alle_A4_join[[#This Row],[Transportdistanz.Voreinstellung]]*Baukon_alle_A4_join[[#This Row],[Masse '[kg/m²'] max]]</f>
        <v>0.53988879387599986</v>
      </c>
      <c r="Z70" s="132">
        <f>_xlfn.XLOOKUP(Baukon_alle_A4_join[[#This Row],[Transport.Transport-Modus]],LeitRess_Materialien[Name],LeitRess_Materialien[WDP '[m³ weighted water/kg']])*Baukon_alle_A4_join[[#This Row],[Transportdistanz.Voreinstellung]]*Baukon_alle_A4_join[[#This Row],[Masse '[kg/m²'] Referenz]]</f>
        <v>3.5202810614630552E-3</v>
      </c>
      <c r="AA70" s="132">
        <f>_xlfn.XLOOKUP(Baukon_alle_A4_join[[#This Row],[Transport.Transport-Modus]],LeitRess_Materialien[Name],LeitRess_Materialien[WDP '[m³ weighted water/kg']])*Baukon_alle_A4_join[[#This Row],[Transportdistanz.Voreinstellung]]*Baukon_alle_A4_join[[#This Row],[Masse '[kg/m²'] min]]</f>
        <v>2.3512325000070405E-3</v>
      </c>
      <c r="AB70" s="132">
        <f>_xlfn.XLOOKUP(Baukon_alle_A4_join[[#This Row],[Transport.Transport-Modus]],LeitRess_Materialien[Name],LeitRess_Materialien[WDP '[m³ weighted water/kg']])*Baukon_alle_A4_join[[#This Row],[Transportdistanz.Voreinstellung]]*Baukon_alle_A4_join[[#This Row],[Masse '[kg/m²'] max]]</f>
        <v>5.8715135614700953E-3</v>
      </c>
      <c r="AC70"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8.6195002524470139E-6</v>
      </c>
      <c r="AD70"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5.7570542730896093E-6</v>
      </c>
      <c r="AE70"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1.4376554525536621E-5</v>
      </c>
    </row>
    <row r="71" spans="1:31" x14ac:dyDescent="0.45">
      <c r="A71" t="s">
        <v>117</v>
      </c>
      <c r="B71" t="s">
        <v>347</v>
      </c>
      <c r="C71" t="s">
        <v>312</v>
      </c>
      <c r="D71" t="s">
        <v>118</v>
      </c>
      <c r="E71" t="s">
        <v>349</v>
      </c>
      <c r="F71" t="s">
        <v>284</v>
      </c>
      <c r="G71">
        <v>0.15</v>
      </c>
      <c r="H71">
        <v>0.15</v>
      </c>
      <c r="I71">
        <v>0.15</v>
      </c>
      <c r="K71" t="s">
        <v>17</v>
      </c>
      <c r="L71" t="s">
        <v>305</v>
      </c>
      <c r="M71" t="s">
        <v>253</v>
      </c>
      <c r="N71" s="132">
        <f>_xlfn.XLOOKUP(Baukon_alle_A4_join[[#This Row],[Transport.Transport-Modus]],LeitRess_Materialien[Name],LeitRess_Materialien[RMI '[kg Primärrohstoffe / kg']])*Baukon_alle_A4_join[[#This Row],[Transportdistanz.Voreinstellung]]*Baukon_alle_A4_join[[#This Row],[Masse '[kg/m²'] Referenz]]</f>
        <v>1.3086621077145761E-3</v>
      </c>
      <c r="O71" s="132">
        <f>_xlfn.XLOOKUP(Baukon_alle_A4_join[[#This Row],[Transport.Transport-Modus]],LeitRess_Materialien[Name],LeitRess_Materialien[RMI '[kg Primärrohstoffe / kg']])*Baukon_alle_A4_join[[#This Row],[Transportdistanz.Voreinstellung]]*Baukon_alle_A4_join[[#This Row],[Masse '[kg/m²'] min]]</f>
        <v>1.3086621077145761E-3</v>
      </c>
      <c r="P71" s="132">
        <f>_xlfn.XLOOKUP(Baukon_alle_A4_join[[#This Row],[Transport.Transport-Modus]],LeitRess_Materialien[Name],LeitRess_Materialien[RMI '[kg Primärrohstoffe / kg']])*Baukon_alle_A4_join[[#This Row],[Transportdistanz.Voreinstellung]]*Baukon_alle_A4_join[[#This Row],[Masse '[kg/m²'] max]]</f>
        <v>1.3086621077145761E-3</v>
      </c>
      <c r="Q71" s="132">
        <f>_xlfn.XLOOKUP(Baukon_alle_A4_join[[#This Row],[Transport.Transport-Modus]],LeitRess_Materialien[Name],LeitRess_Materialien[TMR '[kg Gesamtmaterialaufwand/kg']])*Baukon_alle_A4_join[[#This Row],[Transportdistanz.Voreinstellung]]*Baukon_alle_A4_join[[#This Row],[Masse '[kg/m²'] Referenz]]</f>
        <v>1.5597248765942175E-3</v>
      </c>
      <c r="R71" s="132">
        <f>_xlfn.XLOOKUP(Baukon_alle_A4_join[[#This Row],[Transport.Transport-Modus]],LeitRess_Materialien[Name],LeitRess_Materialien[TMR '[kg Gesamtmaterialaufwand/kg']])*Baukon_alle_A4_join[[#This Row],[Transportdistanz.Voreinstellung]]*Baukon_alle_A4_join[[#This Row],[Masse '[kg/m²'] min]]</f>
        <v>1.5597248765942175E-3</v>
      </c>
      <c r="S71" s="132">
        <f>_xlfn.XLOOKUP(Baukon_alle_A4_join[[#This Row],[Transport.Transport-Modus]],LeitRess_Materialien[Name],LeitRess_Materialien[TMR '[kg Gesamtmaterialaufwand/kg']])*Baukon_alle_A4_join[[#This Row],[Transportdistanz.Voreinstellung]]*Baukon_alle_A4_join[[#This Row],[Masse '[kg/m²'] max]]</f>
        <v>1.5597248765942175E-3</v>
      </c>
      <c r="T71" s="132">
        <f>_xlfn.XLOOKUP(Baukon_alle_A4_join[[#This Row],[Transport.Transport-Modus]],LeitRess_Materialien[Name],LeitRess_Materialien[GWP '[kg CO2-Äqu./kg']])*Baukon_alle_A4_join[[#This Row],[Transportdistanz.Voreinstellung]]*Baukon_alle_A4_join[[#This Row],[Masse '[kg/m²'] Referenz]]</f>
        <v>1.4518655852337374E-3</v>
      </c>
      <c r="U71" s="132">
        <f>_xlfn.XLOOKUP(Baukon_alle_A4_join[[#This Row],[Transport.Transport-Modus]],LeitRess_Materialien[Name],LeitRess_Materialien[GWP '[kg CO2-Äqu./kg']])*Baukon_alle_A4_join[[#This Row],[Transportdistanz.Voreinstellung]]*Baukon_alle_A4_join[[#This Row],[Masse '[kg/m²'] min]]</f>
        <v>1.4518655852337374E-3</v>
      </c>
      <c r="V71" s="132">
        <f>_xlfn.XLOOKUP(Baukon_alle_A4_join[[#This Row],[Transport.Transport-Modus]],LeitRess_Materialien[Name],LeitRess_Materialien[GWP '[kg CO2-Äqu./kg']])*Baukon_alle_A4_join[[#This Row],[Transportdistanz.Voreinstellung]]*Baukon_alle_A4_join[[#This Row],[Masse '[kg/m²'] max]]</f>
        <v>1.4518655852337374E-3</v>
      </c>
      <c r="W71" s="132">
        <f>_xlfn.XLOOKUP(Baukon_alle_A4_join[[#This Row],[Transport.Transport-Modus]],LeitRess_Materialien[Name],LeitRess_Materialien[PENRT '[MJ/kg']])*Baukon_alle_A4_join[[#This Row],[Transportdistanz.Voreinstellung]]*Baukon_alle_A4_join[[#This Row],[Masse '[kg/m²'] Referenz]]</f>
        <v>9.0585368099999983E-3</v>
      </c>
      <c r="X71" s="132">
        <f>_xlfn.XLOOKUP(Baukon_alle_A4_join[[#This Row],[Transport.Transport-Modus]],LeitRess_Materialien[Name],LeitRess_Materialien[PENRT '[MJ/kg']])*Baukon_alle_A4_join[[#This Row],[Transportdistanz.Voreinstellung]]*Baukon_alle_A4_join[[#This Row],[Masse '[kg/m²'] min]]</f>
        <v>9.0585368099999983E-3</v>
      </c>
      <c r="Y71" s="132">
        <f>_xlfn.XLOOKUP(Baukon_alle_A4_join[[#This Row],[Transport.Transport-Modus]],LeitRess_Materialien[Name],LeitRess_Materialien[PENRT '[MJ/kg']])*Baukon_alle_A4_join[[#This Row],[Transportdistanz.Voreinstellung]]*Baukon_alle_A4_join[[#This Row],[Masse '[kg/m²'] max]]</f>
        <v>9.0585368099999983E-3</v>
      </c>
      <c r="Z71" s="132">
        <f>_xlfn.XLOOKUP(Baukon_alle_A4_join[[#This Row],[Transport.Transport-Modus]],LeitRess_Materialien[Name],LeitRess_Materialien[WDP '[m³ weighted water/kg']])*Baukon_alle_A4_join[[#This Row],[Transportdistanz.Voreinstellung]]*Baukon_alle_A4_join[[#This Row],[Masse '[kg/m²'] Referenz]]</f>
        <v>9.8515328212585488E-5</v>
      </c>
      <c r="AA71" s="132">
        <f>_xlfn.XLOOKUP(Baukon_alle_A4_join[[#This Row],[Transport.Transport-Modus]],LeitRess_Materialien[Name],LeitRess_Materialien[WDP '[m³ weighted water/kg']])*Baukon_alle_A4_join[[#This Row],[Transportdistanz.Voreinstellung]]*Baukon_alle_A4_join[[#This Row],[Masse '[kg/m²'] min]]</f>
        <v>9.8515328212585488E-5</v>
      </c>
      <c r="AB71" s="132">
        <f>_xlfn.XLOOKUP(Baukon_alle_A4_join[[#This Row],[Transport.Transport-Modus]],LeitRess_Materialien[Name],LeitRess_Materialien[WDP '[m³ weighted water/kg']])*Baukon_alle_A4_join[[#This Row],[Transportdistanz.Voreinstellung]]*Baukon_alle_A4_join[[#This Row],[Masse '[kg/m²'] max]]</f>
        <v>9.8515328212585488E-5</v>
      </c>
      <c r="AC71"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2.4121735781101714E-7</v>
      </c>
      <c r="AD71"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2.4121735781101714E-7</v>
      </c>
      <c r="AE71"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2.4121735781101714E-7</v>
      </c>
    </row>
    <row r="72" spans="1:31" x14ac:dyDescent="0.45">
      <c r="A72" t="s">
        <v>117</v>
      </c>
      <c r="B72" t="s">
        <v>347</v>
      </c>
      <c r="C72" t="s">
        <v>312</v>
      </c>
      <c r="D72" t="s">
        <v>118</v>
      </c>
      <c r="E72" t="s">
        <v>350</v>
      </c>
      <c r="F72" t="s">
        <v>283</v>
      </c>
      <c r="G72">
        <v>45</v>
      </c>
      <c r="H72">
        <v>45</v>
      </c>
      <c r="I72">
        <v>45</v>
      </c>
      <c r="K72" t="s">
        <v>17</v>
      </c>
      <c r="L72" t="s">
        <v>305</v>
      </c>
      <c r="M72" t="s">
        <v>253</v>
      </c>
      <c r="N72" s="132">
        <f>_xlfn.XLOOKUP(Baukon_alle_A4_join[[#This Row],[Transport.Transport-Modus]],LeitRess_Materialien[Name],LeitRess_Materialien[RMI '[kg Primärrohstoffe / kg']])*Baukon_alle_A4_join[[#This Row],[Transportdistanz.Voreinstellung]]*Baukon_alle_A4_join[[#This Row],[Masse '[kg/m²'] Referenz]]</f>
        <v>0.39259863231437281</v>
      </c>
      <c r="O72" s="132">
        <f>_xlfn.XLOOKUP(Baukon_alle_A4_join[[#This Row],[Transport.Transport-Modus]],LeitRess_Materialien[Name],LeitRess_Materialien[RMI '[kg Primärrohstoffe / kg']])*Baukon_alle_A4_join[[#This Row],[Transportdistanz.Voreinstellung]]*Baukon_alle_A4_join[[#This Row],[Masse '[kg/m²'] min]]</f>
        <v>0.39259863231437281</v>
      </c>
      <c r="P72" s="132">
        <f>_xlfn.XLOOKUP(Baukon_alle_A4_join[[#This Row],[Transport.Transport-Modus]],LeitRess_Materialien[Name],LeitRess_Materialien[RMI '[kg Primärrohstoffe / kg']])*Baukon_alle_A4_join[[#This Row],[Transportdistanz.Voreinstellung]]*Baukon_alle_A4_join[[#This Row],[Masse '[kg/m²'] max]]</f>
        <v>0.39259863231437281</v>
      </c>
      <c r="Q72" s="132">
        <f>_xlfn.XLOOKUP(Baukon_alle_A4_join[[#This Row],[Transport.Transport-Modus]],LeitRess_Materialien[Name],LeitRess_Materialien[TMR '[kg Gesamtmaterialaufwand/kg']])*Baukon_alle_A4_join[[#This Row],[Transportdistanz.Voreinstellung]]*Baukon_alle_A4_join[[#This Row],[Masse '[kg/m²'] Referenz]]</f>
        <v>0.46791746297826525</v>
      </c>
      <c r="R72" s="132">
        <f>_xlfn.XLOOKUP(Baukon_alle_A4_join[[#This Row],[Transport.Transport-Modus]],LeitRess_Materialien[Name],LeitRess_Materialien[TMR '[kg Gesamtmaterialaufwand/kg']])*Baukon_alle_A4_join[[#This Row],[Transportdistanz.Voreinstellung]]*Baukon_alle_A4_join[[#This Row],[Masse '[kg/m²'] min]]</f>
        <v>0.46791746297826525</v>
      </c>
      <c r="S72" s="132">
        <f>_xlfn.XLOOKUP(Baukon_alle_A4_join[[#This Row],[Transport.Transport-Modus]],LeitRess_Materialien[Name],LeitRess_Materialien[TMR '[kg Gesamtmaterialaufwand/kg']])*Baukon_alle_A4_join[[#This Row],[Transportdistanz.Voreinstellung]]*Baukon_alle_A4_join[[#This Row],[Masse '[kg/m²'] max]]</f>
        <v>0.46791746297826525</v>
      </c>
      <c r="T72" s="132">
        <f>_xlfn.XLOOKUP(Baukon_alle_A4_join[[#This Row],[Transport.Transport-Modus]],LeitRess_Materialien[Name],LeitRess_Materialien[GWP '[kg CO2-Äqu./kg']])*Baukon_alle_A4_join[[#This Row],[Transportdistanz.Voreinstellung]]*Baukon_alle_A4_join[[#This Row],[Masse '[kg/m²'] Referenz]]</f>
        <v>0.43555967557012121</v>
      </c>
      <c r="U72" s="132">
        <f>_xlfn.XLOOKUP(Baukon_alle_A4_join[[#This Row],[Transport.Transport-Modus]],LeitRess_Materialien[Name],LeitRess_Materialien[GWP '[kg CO2-Äqu./kg']])*Baukon_alle_A4_join[[#This Row],[Transportdistanz.Voreinstellung]]*Baukon_alle_A4_join[[#This Row],[Masse '[kg/m²'] min]]</f>
        <v>0.43555967557012121</v>
      </c>
      <c r="V72" s="132">
        <f>_xlfn.XLOOKUP(Baukon_alle_A4_join[[#This Row],[Transport.Transport-Modus]],LeitRess_Materialien[Name],LeitRess_Materialien[GWP '[kg CO2-Äqu./kg']])*Baukon_alle_A4_join[[#This Row],[Transportdistanz.Voreinstellung]]*Baukon_alle_A4_join[[#This Row],[Masse '[kg/m²'] max]]</f>
        <v>0.43555967557012121</v>
      </c>
      <c r="W72" s="132">
        <f>_xlfn.XLOOKUP(Baukon_alle_A4_join[[#This Row],[Transport.Transport-Modus]],LeitRess_Materialien[Name],LeitRess_Materialien[PENRT '[MJ/kg']])*Baukon_alle_A4_join[[#This Row],[Transportdistanz.Voreinstellung]]*Baukon_alle_A4_join[[#This Row],[Masse '[kg/m²'] Referenz]]</f>
        <v>2.7175610429999999</v>
      </c>
      <c r="X72" s="132">
        <f>_xlfn.XLOOKUP(Baukon_alle_A4_join[[#This Row],[Transport.Transport-Modus]],LeitRess_Materialien[Name],LeitRess_Materialien[PENRT '[MJ/kg']])*Baukon_alle_A4_join[[#This Row],[Transportdistanz.Voreinstellung]]*Baukon_alle_A4_join[[#This Row],[Masse '[kg/m²'] min]]</f>
        <v>2.7175610429999999</v>
      </c>
      <c r="Y72" s="132">
        <f>_xlfn.XLOOKUP(Baukon_alle_A4_join[[#This Row],[Transport.Transport-Modus]],LeitRess_Materialien[Name],LeitRess_Materialien[PENRT '[MJ/kg']])*Baukon_alle_A4_join[[#This Row],[Transportdistanz.Voreinstellung]]*Baukon_alle_A4_join[[#This Row],[Masse '[kg/m²'] max]]</f>
        <v>2.7175610429999999</v>
      </c>
      <c r="Z72" s="132">
        <f>_xlfn.XLOOKUP(Baukon_alle_A4_join[[#This Row],[Transport.Transport-Modus]],LeitRess_Materialien[Name],LeitRess_Materialien[WDP '[m³ weighted water/kg']])*Baukon_alle_A4_join[[#This Row],[Transportdistanz.Voreinstellung]]*Baukon_alle_A4_join[[#This Row],[Masse '[kg/m²'] Referenz]]</f>
        <v>2.9554598463775648E-2</v>
      </c>
      <c r="AA72" s="132">
        <f>_xlfn.XLOOKUP(Baukon_alle_A4_join[[#This Row],[Transport.Transport-Modus]],LeitRess_Materialien[Name],LeitRess_Materialien[WDP '[m³ weighted water/kg']])*Baukon_alle_A4_join[[#This Row],[Transportdistanz.Voreinstellung]]*Baukon_alle_A4_join[[#This Row],[Masse '[kg/m²'] min]]</f>
        <v>2.9554598463775648E-2</v>
      </c>
      <c r="AB72" s="132">
        <f>_xlfn.XLOOKUP(Baukon_alle_A4_join[[#This Row],[Transport.Transport-Modus]],LeitRess_Materialien[Name],LeitRess_Materialien[WDP '[m³ weighted water/kg']])*Baukon_alle_A4_join[[#This Row],[Transportdistanz.Voreinstellung]]*Baukon_alle_A4_join[[#This Row],[Masse '[kg/m²'] max]]</f>
        <v>2.9554598463775648E-2</v>
      </c>
      <c r="AC72"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7.2365207343305139E-5</v>
      </c>
      <c r="AD72"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7.2365207343305139E-5</v>
      </c>
      <c r="AE72"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7.2365207343305139E-5</v>
      </c>
    </row>
    <row r="73" spans="1:31" x14ac:dyDescent="0.45">
      <c r="A73" t="s">
        <v>87</v>
      </c>
      <c r="B73" t="s">
        <v>292</v>
      </c>
      <c r="C73" t="s">
        <v>42</v>
      </c>
      <c r="D73" t="s">
        <v>105</v>
      </c>
      <c r="E73" t="s">
        <v>292</v>
      </c>
      <c r="F73" t="s">
        <v>272</v>
      </c>
      <c r="G73">
        <v>15.08</v>
      </c>
      <c r="H73">
        <v>9.0500000000000007</v>
      </c>
      <c r="I73">
        <v>27.14</v>
      </c>
      <c r="K73" t="s">
        <v>17</v>
      </c>
      <c r="L73" t="s">
        <v>305</v>
      </c>
      <c r="M73" t="s">
        <v>253</v>
      </c>
      <c r="N73" s="132">
        <f>_xlfn.XLOOKUP(Baukon_alle_A4_join[[#This Row],[Transport.Transport-Modus]],LeitRess_Materialien[Name],LeitRess_Materialien[RMI '[kg Primärrohstoffe / kg']])*Baukon_alle_A4_join[[#This Row],[Transportdistanz.Voreinstellung]]*Baukon_alle_A4_join[[#This Row],[Masse '[kg/m²'] Referenz]]</f>
        <v>0.13156416389557204</v>
      </c>
      <c r="O73" s="132">
        <f>_xlfn.XLOOKUP(Baukon_alle_A4_join[[#This Row],[Transport.Transport-Modus]],LeitRess_Materialien[Name],LeitRess_Materialien[RMI '[kg Primärrohstoffe / kg']])*Baukon_alle_A4_join[[#This Row],[Transportdistanz.Voreinstellung]]*Baukon_alle_A4_join[[#This Row],[Masse '[kg/m²'] min]]</f>
        <v>7.89559471654461E-2</v>
      </c>
      <c r="P73" s="132">
        <f>_xlfn.XLOOKUP(Baukon_alle_A4_join[[#This Row],[Transport.Transport-Modus]],LeitRess_Materialien[Name],LeitRess_Materialien[RMI '[kg Primärrohstoffe / kg']])*Baukon_alle_A4_join[[#This Row],[Transportdistanz.Voreinstellung]]*Baukon_alle_A4_join[[#This Row],[Masse '[kg/m²'] max]]</f>
        <v>0.23678059735582396</v>
      </c>
      <c r="Q73" s="132">
        <f>_xlfn.XLOOKUP(Baukon_alle_A4_join[[#This Row],[Transport.Transport-Modus]],LeitRess_Materialien[Name],LeitRess_Materialien[TMR '[kg Gesamtmaterialaufwand/kg']])*Baukon_alle_A4_join[[#This Row],[Transportdistanz.Voreinstellung]]*Baukon_alle_A4_join[[#This Row],[Masse '[kg/m²'] Referenz]]</f>
        <v>0.15680434092693868</v>
      </c>
      <c r="R73" s="132">
        <f>_xlfn.XLOOKUP(Baukon_alle_A4_join[[#This Row],[Transport.Transport-Modus]],LeitRess_Materialien[Name],LeitRess_Materialien[TMR '[kg Gesamtmaterialaufwand/kg']])*Baukon_alle_A4_join[[#This Row],[Transportdistanz.Voreinstellung]]*Baukon_alle_A4_join[[#This Row],[Masse '[kg/m²'] min]]</f>
        <v>9.410340088785113E-2</v>
      </c>
      <c r="S73" s="132">
        <f>_xlfn.XLOOKUP(Baukon_alle_A4_join[[#This Row],[Transport.Transport-Modus]],LeitRess_Materialien[Name],LeitRess_Materialien[TMR '[kg Gesamtmaterialaufwand/kg']])*Baukon_alle_A4_join[[#This Row],[Transportdistanz.Voreinstellung]]*Baukon_alle_A4_join[[#This Row],[Masse '[kg/m²'] max]]</f>
        <v>0.28220622100511378</v>
      </c>
      <c r="T73" s="132">
        <f>_xlfn.XLOOKUP(Baukon_alle_A4_join[[#This Row],[Transport.Transport-Modus]],LeitRess_Materialien[Name],LeitRess_Materialien[GWP '[kg CO2-Äqu./kg']])*Baukon_alle_A4_join[[#This Row],[Transportdistanz.Voreinstellung]]*Baukon_alle_A4_join[[#This Row],[Masse '[kg/m²'] Referenz]]</f>
        <v>0.1459608868354984</v>
      </c>
      <c r="U73" s="132">
        <f>_xlfn.XLOOKUP(Baukon_alle_A4_join[[#This Row],[Transport.Transport-Modus]],LeitRess_Materialien[Name],LeitRess_Materialien[GWP '[kg CO2-Äqu./kg']])*Baukon_alle_A4_join[[#This Row],[Transportdistanz.Voreinstellung]]*Baukon_alle_A4_join[[#This Row],[Masse '[kg/m²'] min]]</f>
        <v>8.759589030910217E-2</v>
      </c>
      <c r="V73" s="132">
        <f>_xlfn.XLOOKUP(Baukon_alle_A4_join[[#This Row],[Transport.Transport-Modus]],LeitRess_Materialien[Name],LeitRess_Materialien[GWP '[kg CO2-Äqu./kg']])*Baukon_alle_A4_join[[#This Row],[Transportdistanz.Voreinstellung]]*Baukon_alle_A4_join[[#This Row],[Masse '[kg/m²'] max]]</f>
        <v>0.26269087988829087</v>
      </c>
      <c r="W73" s="132">
        <f>_xlfn.XLOOKUP(Baukon_alle_A4_join[[#This Row],[Transport.Transport-Modus]],LeitRess_Materialien[Name],LeitRess_Materialien[PENRT '[MJ/kg']])*Baukon_alle_A4_join[[#This Row],[Transportdistanz.Voreinstellung]]*Baukon_alle_A4_join[[#This Row],[Masse '[kg/m²'] Referenz]]</f>
        <v>0.91068490063199992</v>
      </c>
      <c r="X73" s="132">
        <f>_xlfn.XLOOKUP(Baukon_alle_A4_join[[#This Row],[Transport.Transport-Modus]],LeitRess_Materialien[Name],LeitRess_Materialien[PENRT '[MJ/kg']])*Baukon_alle_A4_join[[#This Row],[Transportdistanz.Voreinstellung]]*Baukon_alle_A4_join[[#This Row],[Masse '[kg/m²'] min]]</f>
        <v>0.54653172087000002</v>
      </c>
      <c r="Y73" s="132">
        <f>_xlfn.XLOOKUP(Baukon_alle_A4_join[[#This Row],[Transport.Transport-Modus]],LeitRess_Materialien[Name],LeitRess_Materialien[PENRT '[MJ/kg']])*Baukon_alle_A4_join[[#This Row],[Transportdistanz.Voreinstellung]]*Baukon_alle_A4_join[[#This Row],[Masse '[kg/m²'] max]]</f>
        <v>1.6389912601559999</v>
      </c>
      <c r="Z73" s="132">
        <f>_xlfn.XLOOKUP(Baukon_alle_A4_join[[#This Row],[Transport.Transport-Modus]],LeitRess_Materialien[Name],LeitRess_Materialien[WDP '[m³ weighted water/kg']])*Baukon_alle_A4_join[[#This Row],[Transportdistanz.Voreinstellung]]*Baukon_alle_A4_join[[#This Row],[Masse '[kg/m²'] Referenz]]</f>
        <v>9.9040743296385948E-3</v>
      </c>
      <c r="AA73" s="132">
        <f>_xlfn.XLOOKUP(Baukon_alle_A4_join[[#This Row],[Transport.Transport-Modus]],LeitRess_Materialien[Name],LeitRess_Materialien[WDP '[m³ weighted water/kg']])*Baukon_alle_A4_join[[#This Row],[Transportdistanz.Voreinstellung]]*Baukon_alle_A4_join[[#This Row],[Masse '[kg/m²'] min]]</f>
        <v>5.9437581354926591E-3</v>
      </c>
      <c r="AB73" s="132">
        <f>_xlfn.XLOOKUP(Baukon_alle_A4_join[[#This Row],[Transport.Transport-Modus]],LeitRess_Materialien[Name],LeitRess_Materialien[WDP '[m³ weighted water/kg']])*Baukon_alle_A4_join[[#This Row],[Transportdistanz.Voreinstellung]]*Baukon_alle_A4_join[[#This Row],[Masse '[kg/m²'] max]]</f>
        <v>1.7824706717930471E-2</v>
      </c>
      <c r="AC73"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2.4250385038600924E-5</v>
      </c>
      <c r="AD73"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1.4553447254598038E-5</v>
      </c>
      <c r="AE73"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4.3644260606606706E-5</v>
      </c>
    </row>
    <row r="74" spans="1:31" x14ac:dyDescent="0.45">
      <c r="A74" t="s">
        <v>87</v>
      </c>
      <c r="B74" t="s">
        <v>292</v>
      </c>
      <c r="C74" t="s">
        <v>42</v>
      </c>
      <c r="D74" t="s">
        <v>105</v>
      </c>
      <c r="E74" t="s">
        <v>292</v>
      </c>
      <c r="F74" t="s">
        <v>254</v>
      </c>
      <c r="G74">
        <v>0.03</v>
      </c>
      <c r="H74">
        <v>0.03</v>
      </c>
      <c r="I74">
        <v>0.03</v>
      </c>
      <c r="K74" t="s">
        <v>17</v>
      </c>
      <c r="L74" t="s">
        <v>305</v>
      </c>
      <c r="M74" t="s">
        <v>253</v>
      </c>
      <c r="N74" s="132">
        <f>_xlfn.XLOOKUP(Baukon_alle_A4_join[[#This Row],[Transport.Transport-Modus]],LeitRess_Materialien[Name],LeitRess_Materialien[RMI '[kg Primärrohstoffe / kg']])*Baukon_alle_A4_join[[#This Row],[Transportdistanz.Voreinstellung]]*Baukon_alle_A4_join[[#This Row],[Masse '[kg/m²'] Referenz]]</f>
        <v>2.6173242154291519E-4</v>
      </c>
      <c r="O74" s="132">
        <f>_xlfn.XLOOKUP(Baukon_alle_A4_join[[#This Row],[Transport.Transport-Modus]],LeitRess_Materialien[Name],LeitRess_Materialien[RMI '[kg Primärrohstoffe / kg']])*Baukon_alle_A4_join[[#This Row],[Transportdistanz.Voreinstellung]]*Baukon_alle_A4_join[[#This Row],[Masse '[kg/m²'] min]]</f>
        <v>2.6173242154291519E-4</v>
      </c>
      <c r="P74" s="132">
        <f>_xlfn.XLOOKUP(Baukon_alle_A4_join[[#This Row],[Transport.Transport-Modus]],LeitRess_Materialien[Name],LeitRess_Materialien[RMI '[kg Primärrohstoffe / kg']])*Baukon_alle_A4_join[[#This Row],[Transportdistanz.Voreinstellung]]*Baukon_alle_A4_join[[#This Row],[Masse '[kg/m²'] max]]</f>
        <v>2.6173242154291519E-4</v>
      </c>
      <c r="Q74" s="132">
        <f>_xlfn.XLOOKUP(Baukon_alle_A4_join[[#This Row],[Transport.Transport-Modus]],LeitRess_Materialien[Name],LeitRess_Materialien[TMR '[kg Gesamtmaterialaufwand/kg']])*Baukon_alle_A4_join[[#This Row],[Transportdistanz.Voreinstellung]]*Baukon_alle_A4_join[[#This Row],[Masse '[kg/m²'] Referenz]]</f>
        <v>3.1194497531884352E-4</v>
      </c>
      <c r="R74" s="132">
        <f>_xlfn.XLOOKUP(Baukon_alle_A4_join[[#This Row],[Transport.Transport-Modus]],LeitRess_Materialien[Name],LeitRess_Materialien[TMR '[kg Gesamtmaterialaufwand/kg']])*Baukon_alle_A4_join[[#This Row],[Transportdistanz.Voreinstellung]]*Baukon_alle_A4_join[[#This Row],[Masse '[kg/m²'] min]]</f>
        <v>3.1194497531884352E-4</v>
      </c>
      <c r="S74" s="132">
        <f>_xlfn.XLOOKUP(Baukon_alle_A4_join[[#This Row],[Transport.Transport-Modus]],LeitRess_Materialien[Name],LeitRess_Materialien[TMR '[kg Gesamtmaterialaufwand/kg']])*Baukon_alle_A4_join[[#This Row],[Transportdistanz.Voreinstellung]]*Baukon_alle_A4_join[[#This Row],[Masse '[kg/m²'] max]]</f>
        <v>3.1194497531884352E-4</v>
      </c>
      <c r="T74" s="132">
        <f>_xlfn.XLOOKUP(Baukon_alle_A4_join[[#This Row],[Transport.Transport-Modus]],LeitRess_Materialien[Name],LeitRess_Materialien[GWP '[kg CO2-Äqu./kg']])*Baukon_alle_A4_join[[#This Row],[Transportdistanz.Voreinstellung]]*Baukon_alle_A4_join[[#This Row],[Masse '[kg/m²'] Referenz]]</f>
        <v>2.9037311704674748E-4</v>
      </c>
      <c r="U74" s="132">
        <f>_xlfn.XLOOKUP(Baukon_alle_A4_join[[#This Row],[Transport.Transport-Modus]],LeitRess_Materialien[Name],LeitRess_Materialien[GWP '[kg CO2-Äqu./kg']])*Baukon_alle_A4_join[[#This Row],[Transportdistanz.Voreinstellung]]*Baukon_alle_A4_join[[#This Row],[Masse '[kg/m²'] min]]</f>
        <v>2.9037311704674748E-4</v>
      </c>
      <c r="V74" s="132">
        <f>_xlfn.XLOOKUP(Baukon_alle_A4_join[[#This Row],[Transport.Transport-Modus]],LeitRess_Materialien[Name],LeitRess_Materialien[GWP '[kg CO2-Äqu./kg']])*Baukon_alle_A4_join[[#This Row],[Transportdistanz.Voreinstellung]]*Baukon_alle_A4_join[[#This Row],[Masse '[kg/m²'] max]]</f>
        <v>2.9037311704674748E-4</v>
      </c>
      <c r="W74" s="132">
        <f>_xlfn.XLOOKUP(Baukon_alle_A4_join[[#This Row],[Transport.Transport-Modus]],LeitRess_Materialien[Name],LeitRess_Materialien[PENRT '[MJ/kg']])*Baukon_alle_A4_join[[#This Row],[Transportdistanz.Voreinstellung]]*Baukon_alle_A4_join[[#This Row],[Masse '[kg/m²'] Referenz]]</f>
        <v>1.8117073619999997E-3</v>
      </c>
      <c r="X74" s="132">
        <f>_xlfn.XLOOKUP(Baukon_alle_A4_join[[#This Row],[Transport.Transport-Modus]],LeitRess_Materialien[Name],LeitRess_Materialien[PENRT '[MJ/kg']])*Baukon_alle_A4_join[[#This Row],[Transportdistanz.Voreinstellung]]*Baukon_alle_A4_join[[#This Row],[Masse '[kg/m²'] min]]</f>
        <v>1.8117073619999997E-3</v>
      </c>
      <c r="Y74" s="132">
        <f>_xlfn.XLOOKUP(Baukon_alle_A4_join[[#This Row],[Transport.Transport-Modus]],LeitRess_Materialien[Name],LeitRess_Materialien[PENRT '[MJ/kg']])*Baukon_alle_A4_join[[#This Row],[Transportdistanz.Voreinstellung]]*Baukon_alle_A4_join[[#This Row],[Masse '[kg/m²'] max]]</f>
        <v>1.8117073619999997E-3</v>
      </c>
      <c r="Z74" s="132">
        <f>_xlfn.XLOOKUP(Baukon_alle_A4_join[[#This Row],[Transport.Transport-Modus]],LeitRess_Materialien[Name],LeitRess_Materialien[WDP '[m³ weighted water/kg']])*Baukon_alle_A4_join[[#This Row],[Transportdistanz.Voreinstellung]]*Baukon_alle_A4_join[[#This Row],[Masse '[kg/m²'] Referenz]]</f>
        <v>1.9703065642517098E-5</v>
      </c>
      <c r="AA74" s="132">
        <f>_xlfn.XLOOKUP(Baukon_alle_A4_join[[#This Row],[Transport.Transport-Modus]],LeitRess_Materialien[Name],LeitRess_Materialien[WDP '[m³ weighted water/kg']])*Baukon_alle_A4_join[[#This Row],[Transportdistanz.Voreinstellung]]*Baukon_alle_A4_join[[#This Row],[Masse '[kg/m²'] min]]</f>
        <v>1.9703065642517098E-5</v>
      </c>
      <c r="AB74" s="132">
        <f>_xlfn.XLOOKUP(Baukon_alle_A4_join[[#This Row],[Transport.Transport-Modus]],LeitRess_Materialien[Name],LeitRess_Materialien[WDP '[m³ weighted water/kg']])*Baukon_alle_A4_join[[#This Row],[Transportdistanz.Voreinstellung]]*Baukon_alle_A4_join[[#This Row],[Masse '[kg/m²'] max]]</f>
        <v>1.9703065642517098E-5</v>
      </c>
      <c r="AC74"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4.8243471562203427E-8</v>
      </c>
      <c r="AD74"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4.8243471562203427E-8</v>
      </c>
      <c r="AE74"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4.8243471562203427E-8</v>
      </c>
    </row>
    <row r="75" spans="1:31" x14ac:dyDescent="0.45">
      <c r="A75" t="s">
        <v>87</v>
      </c>
      <c r="B75" t="s">
        <v>222</v>
      </c>
      <c r="C75" t="s">
        <v>223</v>
      </c>
      <c r="D75" t="s">
        <v>106</v>
      </c>
      <c r="F75" t="s">
        <v>224</v>
      </c>
      <c r="G75">
        <v>708</v>
      </c>
      <c r="H75">
        <v>708</v>
      </c>
      <c r="I75">
        <v>708</v>
      </c>
      <c r="J75" t="s">
        <v>225</v>
      </c>
      <c r="K75" t="s">
        <v>17</v>
      </c>
      <c r="L75" t="s">
        <v>305</v>
      </c>
      <c r="M75" t="s">
        <v>253</v>
      </c>
      <c r="N75" s="132">
        <f>_xlfn.XLOOKUP(Baukon_alle_A4_join[[#This Row],[Transport.Transport-Modus]],LeitRess_Materialien[Name],LeitRess_Materialien[RMI '[kg Primärrohstoffe / kg']])*Baukon_alle_A4_join[[#This Row],[Transportdistanz.Voreinstellung]]*Baukon_alle_A4_join[[#This Row],[Masse '[kg/m²'] Referenz]]</f>
        <v>6.1768851484127989</v>
      </c>
      <c r="O75" s="132">
        <f>_xlfn.XLOOKUP(Baukon_alle_A4_join[[#This Row],[Transport.Transport-Modus]],LeitRess_Materialien[Name],LeitRess_Materialien[RMI '[kg Primärrohstoffe / kg']])*Baukon_alle_A4_join[[#This Row],[Transportdistanz.Voreinstellung]]*Baukon_alle_A4_join[[#This Row],[Masse '[kg/m²'] min]]</f>
        <v>6.1768851484127989</v>
      </c>
      <c r="P75" s="132">
        <f>_xlfn.XLOOKUP(Baukon_alle_A4_join[[#This Row],[Transport.Transport-Modus]],LeitRess_Materialien[Name],LeitRess_Materialien[RMI '[kg Primärrohstoffe / kg']])*Baukon_alle_A4_join[[#This Row],[Transportdistanz.Voreinstellung]]*Baukon_alle_A4_join[[#This Row],[Masse '[kg/m²'] max]]</f>
        <v>6.1768851484127989</v>
      </c>
      <c r="Q75" s="132">
        <f>_xlfn.XLOOKUP(Baukon_alle_A4_join[[#This Row],[Transport.Transport-Modus]],LeitRess_Materialien[Name],LeitRess_Materialien[TMR '[kg Gesamtmaterialaufwand/kg']])*Baukon_alle_A4_join[[#This Row],[Transportdistanz.Voreinstellung]]*Baukon_alle_A4_join[[#This Row],[Masse '[kg/m²'] Referenz]]</f>
        <v>7.3619014175247068</v>
      </c>
      <c r="R75" s="132">
        <f>_xlfn.XLOOKUP(Baukon_alle_A4_join[[#This Row],[Transport.Transport-Modus]],LeitRess_Materialien[Name],LeitRess_Materialien[TMR '[kg Gesamtmaterialaufwand/kg']])*Baukon_alle_A4_join[[#This Row],[Transportdistanz.Voreinstellung]]*Baukon_alle_A4_join[[#This Row],[Masse '[kg/m²'] min]]</f>
        <v>7.3619014175247068</v>
      </c>
      <c r="S75" s="132">
        <f>_xlfn.XLOOKUP(Baukon_alle_A4_join[[#This Row],[Transport.Transport-Modus]],LeitRess_Materialien[Name],LeitRess_Materialien[TMR '[kg Gesamtmaterialaufwand/kg']])*Baukon_alle_A4_join[[#This Row],[Transportdistanz.Voreinstellung]]*Baukon_alle_A4_join[[#This Row],[Masse '[kg/m²'] max]]</f>
        <v>7.3619014175247068</v>
      </c>
      <c r="T75" s="132">
        <f>_xlfn.XLOOKUP(Baukon_alle_A4_join[[#This Row],[Transport.Transport-Modus]],LeitRess_Materialien[Name],LeitRess_Materialien[GWP '[kg CO2-Äqu./kg']])*Baukon_alle_A4_join[[#This Row],[Transportdistanz.Voreinstellung]]*Baukon_alle_A4_join[[#This Row],[Masse '[kg/m²'] Referenz]]</f>
        <v>6.8528055623032404</v>
      </c>
      <c r="U75" s="132">
        <f>_xlfn.XLOOKUP(Baukon_alle_A4_join[[#This Row],[Transport.Transport-Modus]],LeitRess_Materialien[Name],LeitRess_Materialien[GWP '[kg CO2-Äqu./kg']])*Baukon_alle_A4_join[[#This Row],[Transportdistanz.Voreinstellung]]*Baukon_alle_A4_join[[#This Row],[Masse '[kg/m²'] min]]</f>
        <v>6.8528055623032404</v>
      </c>
      <c r="V75" s="132">
        <f>_xlfn.XLOOKUP(Baukon_alle_A4_join[[#This Row],[Transport.Transport-Modus]],LeitRess_Materialien[Name],LeitRess_Materialien[GWP '[kg CO2-Äqu./kg']])*Baukon_alle_A4_join[[#This Row],[Transportdistanz.Voreinstellung]]*Baukon_alle_A4_join[[#This Row],[Masse '[kg/m²'] max]]</f>
        <v>6.8528055623032404</v>
      </c>
      <c r="W75" s="132">
        <f>_xlfn.XLOOKUP(Baukon_alle_A4_join[[#This Row],[Transport.Transport-Modus]],LeitRess_Materialien[Name],LeitRess_Materialien[PENRT '[MJ/kg']])*Baukon_alle_A4_join[[#This Row],[Transportdistanz.Voreinstellung]]*Baukon_alle_A4_join[[#This Row],[Masse '[kg/m²'] Referenz]]</f>
        <v>42.756293743199997</v>
      </c>
      <c r="X75" s="132">
        <f>_xlfn.XLOOKUP(Baukon_alle_A4_join[[#This Row],[Transport.Transport-Modus]],LeitRess_Materialien[Name],LeitRess_Materialien[PENRT '[MJ/kg']])*Baukon_alle_A4_join[[#This Row],[Transportdistanz.Voreinstellung]]*Baukon_alle_A4_join[[#This Row],[Masse '[kg/m²'] min]]</f>
        <v>42.756293743199997</v>
      </c>
      <c r="Y75" s="132">
        <f>_xlfn.XLOOKUP(Baukon_alle_A4_join[[#This Row],[Transport.Transport-Modus]],LeitRess_Materialien[Name],LeitRess_Materialien[PENRT '[MJ/kg']])*Baukon_alle_A4_join[[#This Row],[Transportdistanz.Voreinstellung]]*Baukon_alle_A4_join[[#This Row],[Masse '[kg/m²'] max]]</f>
        <v>42.756293743199997</v>
      </c>
      <c r="Z75" s="132">
        <f>_xlfn.XLOOKUP(Baukon_alle_A4_join[[#This Row],[Transport.Transport-Modus]],LeitRess_Materialien[Name],LeitRess_Materialien[WDP '[m³ weighted water/kg']])*Baukon_alle_A4_join[[#This Row],[Transportdistanz.Voreinstellung]]*Baukon_alle_A4_join[[#This Row],[Masse '[kg/m²'] Referenz]]</f>
        <v>0.46499234916340354</v>
      </c>
      <c r="AA75" s="132">
        <f>_xlfn.XLOOKUP(Baukon_alle_A4_join[[#This Row],[Transport.Transport-Modus]],LeitRess_Materialien[Name],LeitRess_Materialien[WDP '[m³ weighted water/kg']])*Baukon_alle_A4_join[[#This Row],[Transportdistanz.Voreinstellung]]*Baukon_alle_A4_join[[#This Row],[Masse '[kg/m²'] min]]</f>
        <v>0.46499234916340354</v>
      </c>
      <c r="AB75" s="132">
        <f>_xlfn.XLOOKUP(Baukon_alle_A4_join[[#This Row],[Transport.Transport-Modus]],LeitRess_Materialien[Name],LeitRess_Materialien[WDP '[m³ weighted water/kg']])*Baukon_alle_A4_join[[#This Row],[Transportdistanz.Voreinstellung]]*Baukon_alle_A4_join[[#This Row],[Masse '[kg/m²'] max]]</f>
        <v>0.46499234916340354</v>
      </c>
      <c r="AC75"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1.1385459288680011E-3</v>
      </c>
      <c r="AD75"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1.1385459288680011E-3</v>
      </c>
      <c r="AE75"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1.1385459288680011E-3</v>
      </c>
    </row>
    <row r="76" spans="1:31" x14ac:dyDescent="0.45">
      <c r="A76" t="s">
        <v>123</v>
      </c>
      <c r="B76" t="s">
        <v>237</v>
      </c>
      <c r="C76" t="s">
        <v>238</v>
      </c>
      <c r="D76" t="s">
        <v>124</v>
      </c>
      <c r="E76" t="s">
        <v>239</v>
      </c>
      <c r="F76" t="s">
        <v>240</v>
      </c>
      <c r="G76">
        <v>100</v>
      </c>
      <c r="H76">
        <v>100</v>
      </c>
      <c r="I76">
        <v>100</v>
      </c>
      <c r="J76" t="s">
        <v>225</v>
      </c>
      <c r="K76" t="s">
        <v>17</v>
      </c>
      <c r="L76" t="s">
        <v>305</v>
      </c>
      <c r="M76" t="s">
        <v>253</v>
      </c>
      <c r="N76" s="132">
        <f>_xlfn.XLOOKUP(Baukon_alle_A4_join[[#This Row],[Transport.Transport-Modus]],LeitRess_Materialien[Name],LeitRess_Materialien[RMI '[kg Primärrohstoffe / kg']])*Baukon_alle_A4_join[[#This Row],[Transportdistanz.Voreinstellung]]*Baukon_alle_A4_join[[#This Row],[Masse '[kg/m²'] Referenz]]</f>
        <v>0.87244140514305069</v>
      </c>
      <c r="O76" s="132">
        <f>_xlfn.XLOOKUP(Baukon_alle_A4_join[[#This Row],[Transport.Transport-Modus]],LeitRess_Materialien[Name],LeitRess_Materialien[RMI '[kg Primärrohstoffe / kg']])*Baukon_alle_A4_join[[#This Row],[Transportdistanz.Voreinstellung]]*Baukon_alle_A4_join[[#This Row],[Masse '[kg/m²'] min]]</f>
        <v>0.87244140514305069</v>
      </c>
      <c r="P76" s="132">
        <f>_xlfn.XLOOKUP(Baukon_alle_A4_join[[#This Row],[Transport.Transport-Modus]],LeitRess_Materialien[Name],LeitRess_Materialien[RMI '[kg Primärrohstoffe / kg']])*Baukon_alle_A4_join[[#This Row],[Transportdistanz.Voreinstellung]]*Baukon_alle_A4_join[[#This Row],[Masse '[kg/m²'] max]]</f>
        <v>0.87244140514305069</v>
      </c>
      <c r="Q76" s="132">
        <f>_xlfn.XLOOKUP(Baukon_alle_A4_join[[#This Row],[Transport.Transport-Modus]],LeitRess_Materialien[Name],LeitRess_Materialien[TMR '[kg Gesamtmaterialaufwand/kg']])*Baukon_alle_A4_join[[#This Row],[Transportdistanz.Voreinstellung]]*Baukon_alle_A4_join[[#This Row],[Masse '[kg/m²'] Referenz]]</f>
        <v>1.0398165843961451</v>
      </c>
      <c r="R76" s="132">
        <f>_xlfn.XLOOKUP(Baukon_alle_A4_join[[#This Row],[Transport.Transport-Modus]],LeitRess_Materialien[Name],LeitRess_Materialien[TMR '[kg Gesamtmaterialaufwand/kg']])*Baukon_alle_A4_join[[#This Row],[Transportdistanz.Voreinstellung]]*Baukon_alle_A4_join[[#This Row],[Masse '[kg/m²'] min]]</f>
        <v>1.0398165843961451</v>
      </c>
      <c r="S76" s="132">
        <f>_xlfn.XLOOKUP(Baukon_alle_A4_join[[#This Row],[Transport.Transport-Modus]],LeitRess_Materialien[Name],LeitRess_Materialien[TMR '[kg Gesamtmaterialaufwand/kg']])*Baukon_alle_A4_join[[#This Row],[Transportdistanz.Voreinstellung]]*Baukon_alle_A4_join[[#This Row],[Masse '[kg/m²'] max]]</f>
        <v>1.0398165843961451</v>
      </c>
      <c r="T76" s="132">
        <f>_xlfn.XLOOKUP(Baukon_alle_A4_join[[#This Row],[Transport.Transport-Modus]],LeitRess_Materialien[Name],LeitRess_Materialien[GWP '[kg CO2-Äqu./kg']])*Baukon_alle_A4_join[[#This Row],[Transportdistanz.Voreinstellung]]*Baukon_alle_A4_join[[#This Row],[Masse '[kg/m²'] Referenz]]</f>
        <v>0.96791039015582492</v>
      </c>
      <c r="U76" s="132">
        <f>_xlfn.XLOOKUP(Baukon_alle_A4_join[[#This Row],[Transport.Transport-Modus]],LeitRess_Materialien[Name],LeitRess_Materialien[GWP '[kg CO2-Äqu./kg']])*Baukon_alle_A4_join[[#This Row],[Transportdistanz.Voreinstellung]]*Baukon_alle_A4_join[[#This Row],[Masse '[kg/m²'] min]]</f>
        <v>0.96791039015582492</v>
      </c>
      <c r="V76" s="132">
        <f>_xlfn.XLOOKUP(Baukon_alle_A4_join[[#This Row],[Transport.Transport-Modus]],LeitRess_Materialien[Name],LeitRess_Materialien[GWP '[kg CO2-Äqu./kg']])*Baukon_alle_A4_join[[#This Row],[Transportdistanz.Voreinstellung]]*Baukon_alle_A4_join[[#This Row],[Masse '[kg/m²'] max]]</f>
        <v>0.96791039015582492</v>
      </c>
      <c r="W76" s="132">
        <f>_xlfn.XLOOKUP(Baukon_alle_A4_join[[#This Row],[Transport.Transport-Modus]],LeitRess_Materialien[Name],LeitRess_Materialien[PENRT '[MJ/kg']])*Baukon_alle_A4_join[[#This Row],[Transportdistanz.Voreinstellung]]*Baukon_alle_A4_join[[#This Row],[Masse '[kg/m²'] Referenz]]</f>
        <v>6.0390245399999998</v>
      </c>
      <c r="X76" s="132">
        <f>_xlfn.XLOOKUP(Baukon_alle_A4_join[[#This Row],[Transport.Transport-Modus]],LeitRess_Materialien[Name],LeitRess_Materialien[PENRT '[MJ/kg']])*Baukon_alle_A4_join[[#This Row],[Transportdistanz.Voreinstellung]]*Baukon_alle_A4_join[[#This Row],[Masse '[kg/m²'] min]]</f>
        <v>6.0390245399999998</v>
      </c>
      <c r="Y76" s="132">
        <f>_xlfn.XLOOKUP(Baukon_alle_A4_join[[#This Row],[Transport.Transport-Modus]],LeitRess_Materialien[Name],LeitRess_Materialien[PENRT '[MJ/kg']])*Baukon_alle_A4_join[[#This Row],[Transportdistanz.Voreinstellung]]*Baukon_alle_A4_join[[#This Row],[Masse '[kg/m²'] max]]</f>
        <v>6.0390245399999998</v>
      </c>
      <c r="Z76" s="132">
        <f>_xlfn.XLOOKUP(Baukon_alle_A4_join[[#This Row],[Transport.Transport-Modus]],LeitRess_Materialien[Name],LeitRess_Materialien[WDP '[m³ weighted water/kg']])*Baukon_alle_A4_join[[#This Row],[Transportdistanz.Voreinstellung]]*Baukon_alle_A4_join[[#This Row],[Masse '[kg/m²'] Referenz]]</f>
        <v>6.5676885475056998E-2</v>
      </c>
      <c r="AA76" s="132">
        <f>_xlfn.XLOOKUP(Baukon_alle_A4_join[[#This Row],[Transport.Transport-Modus]],LeitRess_Materialien[Name],LeitRess_Materialien[WDP '[m³ weighted water/kg']])*Baukon_alle_A4_join[[#This Row],[Transportdistanz.Voreinstellung]]*Baukon_alle_A4_join[[#This Row],[Masse '[kg/m²'] min]]</f>
        <v>6.5676885475056998E-2</v>
      </c>
      <c r="AB76" s="132">
        <f>_xlfn.XLOOKUP(Baukon_alle_A4_join[[#This Row],[Transport.Transport-Modus]],LeitRess_Materialien[Name],LeitRess_Materialien[WDP '[m³ weighted water/kg']])*Baukon_alle_A4_join[[#This Row],[Transportdistanz.Voreinstellung]]*Baukon_alle_A4_join[[#This Row],[Masse '[kg/m²'] max]]</f>
        <v>6.5676885475056998E-2</v>
      </c>
      <c r="AC76"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1.6081157187401146E-4</v>
      </c>
      <c r="AD76"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1.6081157187401146E-4</v>
      </c>
      <c r="AE76"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1.6081157187401146E-4</v>
      </c>
    </row>
    <row r="77" spans="1:31" x14ac:dyDescent="0.45">
      <c r="A77" t="s">
        <v>87</v>
      </c>
      <c r="B77" t="s">
        <v>222</v>
      </c>
      <c r="C77" t="s">
        <v>223</v>
      </c>
      <c r="D77" t="s">
        <v>106</v>
      </c>
      <c r="F77" t="s">
        <v>227</v>
      </c>
      <c r="G77">
        <v>4.62</v>
      </c>
      <c r="H77">
        <v>2.78</v>
      </c>
      <c r="I77">
        <v>8.32</v>
      </c>
      <c r="J77" t="s">
        <v>228</v>
      </c>
      <c r="K77" t="s">
        <v>17</v>
      </c>
      <c r="L77" t="s">
        <v>305</v>
      </c>
      <c r="M77" t="s">
        <v>253</v>
      </c>
      <c r="N77" s="132">
        <f>_xlfn.XLOOKUP(Baukon_alle_A4_join[[#This Row],[Transport.Transport-Modus]],LeitRess_Materialien[Name],LeitRess_Materialien[RMI '[kg Primärrohstoffe / kg']])*Baukon_alle_A4_join[[#This Row],[Transportdistanz.Voreinstellung]]*Baukon_alle_A4_join[[#This Row],[Masse '[kg/m²'] Referenz]]</f>
        <v>4.0306792917608941E-2</v>
      </c>
      <c r="O77" s="132">
        <f>_xlfn.XLOOKUP(Baukon_alle_A4_join[[#This Row],[Transport.Transport-Modus]],LeitRess_Materialien[Name],LeitRess_Materialien[RMI '[kg Primärrohstoffe / kg']])*Baukon_alle_A4_join[[#This Row],[Transportdistanz.Voreinstellung]]*Baukon_alle_A4_join[[#This Row],[Masse '[kg/m²'] min]]</f>
        <v>2.4253871062976808E-2</v>
      </c>
      <c r="P77" s="132">
        <f>_xlfn.XLOOKUP(Baukon_alle_A4_join[[#This Row],[Transport.Transport-Modus]],LeitRess_Materialien[Name],LeitRess_Materialien[RMI '[kg Primärrohstoffe / kg']])*Baukon_alle_A4_join[[#This Row],[Transportdistanz.Voreinstellung]]*Baukon_alle_A4_join[[#This Row],[Masse '[kg/m²'] max]]</f>
        <v>7.2587124907901826E-2</v>
      </c>
      <c r="Q77" s="132">
        <f>_xlfn.XLOOKUP(Baukon_alle_A4_join[[#This Row],[Transport.Transport-Modus]],LeitRess_Materialien[Name],LeitRess_Materialien[TMR '[kg Gesamtmaterialaufwand/kg']])*Baukon_alle_A4_join[[#This Row],[Transportdistanz.Voreinstellung]]*Baukon_alle_A4_join[[#This Row],[Masse '[kg/m²'] Referenz]]</f>
        <v>4.8039526199101901E-2</v>
      </c>
      <c r="R77" s="132">
        <f>_xlfn.XLOOKUP(Baukon_alle_A4_join[[#This Row],[Transport.Transport-Modus]],LeitRess_Materialien[Name],LeitRess_Materialien[TMR '[kg Gesamtmaterialaufwand/kg']])*Baukon_alle_A4_join[[#This Row],[Transportdistanz.Voreinstellung]]*Baukon_alle_A4_join[[#This Row],[Masse '[kg/m²'] min]]</f>
        <v>2.8906901046212831E-2</v>
      </c>
      <c r="S77" s="132">
        <f>_xlfn.XLOOKUP(Baukon_alle_A4_join[[#This Row],[Transport.Transport-Modus]],LeitRess_Materialien[Name],LeitRess_Materialien[TMR '[kg Gesamtmaterialaufwand/kg']])*Baukon_alle_A4_join[[#This Row],[Transportdistanz.Voreinstellung]]*Baukon_alle_A4_join[[#This Row],[Masse '[kg/m²'] max]]</f>
        <v>8.6512739821759263E-2</v>
      </c>
      <c r="T77" s="132">
        <f>_xlfn.XLOOKUP(Baukon_alle_A4_join[[#This Row],[Transport.Transport-Modus]],LeitRess_Materialien[Name],LeitRess_Materialien[GWP '[kg CO2-Äqu./kg']])*Baukon_alle_A4_join[[#This Row],[Transportdistanz.Voreinstellung]]*Baukon_alle_A4_join[[#This Row],[Masse '[kg/m²'] Referenz]]</f>
        <v>4.4717460025199114E-2</v>
      </c>
      <c r="U77" s="132">
        <f>_xlfn.XLOOKUP(Baukon_alle_A4_join[[#This Row],[Transport.Transport-Modus]],LeitRess_Materialien[Name],LeitRess_Materialien[GWP '[kg CO2-Äqu./kg']])*Baukon_alle_A4_join[[#This Row],[Transportdistanz.Voreinstellung]]*Baukon_alle_A4_join[[#This Row],[Masse '[kg/m²'] min]]</f>
        <v>2.6907908846331933E-2</v>
      </c>
      <c r="V77" s="132">
        <f>_xlfn.XLOOKUP(Baukon_alle_A4_join[[#This Row],[Transport.Transport-Modus]],LeitRess_Materialien[Name],LeitRess_Materialien[GWP '[kg CO2-Äqu./kg']])*Baukon_alle_A4_join[[#This Row],[Transportdistanz.Voreinstellung]]*Baukon_alle_A4_join[[#This Row],[Masse '[kg/m²'] max]]</f>
        <v>8.0530144460964639E-2</v>
      </c>
      <c r="W77" s="132">
        <f>_xlfn.XLOOKUP(Baukon_alle_A4_join[[#This Row],[Transport.Transport-Modus]],LeitRess_Materialien[Name],LeitRess_Materialien[PENRT '[MJ/kg']])*Baukon_alle_A4_join[[#This Row],[Transportdistanz.Voreinstellung]]*Baukon_alle_A4_join[[#This Row],[Masse '[kg/m²'] Referenz]]</f>
        <v>0.279002933748</v>
      </c>
      <c r="X77" s="132">
        <f>_xlfn.XLOOKUP(Baukon_alle_A4_join[[#This Row],[Transport.Transport-Modus]],LeitRess_Materialien[Name],LeitRess_Materialien[PENRT '[MJ/kg']])*Baukon_alle_A4_join[[#This Row],[Transportdistanz.Voreinstellung]]*Baukon_alle_A4_join[[#This Row],[Masse '[kg/m²'] min]]</f>
        <v>0.16788488221199996</v>
      </c>
      <c r="Y77" s="132">
        <f>_xlfn.XLOOKUP(Baukon_alle_A4_join[[#This Row],[Transport.Transport-Modus]],LeitRess_Materialien[Name],LeitRess_Materialien[PENRT '[MJ/kg']])*Baukon_alle_A4_join[[#This Row],[Transportdistanz.Voreinstellung]]*Baukon_alle_A4_join[[#This Row],[Masse '[kg/m²'] max]]</f>
        <v>0.50244684172799992</v>
      </c>
      <c r="Z77" s="132">
        <f>_xlfn.XLOOKUP(Baukon_alle_A4_join[[#This Row],[Transport.Transport-Modus]],LeitRess_Materialien[Name],LeitRess_Materialien[WDP '[m³ weighted water/kg']])*Baukon_alle_A4_join[[#This Row],[Transportdistanz.Voreinstellung]]*Baukon_alle_A4_join[[#This Row],[Masse '[kg/m²'] Referenz]]</f>
        <v>3.0342721089476332E-3</v>
      </c>
      <c r="AA77" s="132">
        <f>_xlfn.XLOOKUP(Baukon_alle_A4_join[[#This Row],[Transport.Transport-Modus]],LeitRess_Materialien[Name],LeitRess_Materialien[WDP '[m³ weighted water/kg']])*Baukon_alle_A4_join[[#This Row],[Transportdistanz.Voreinstellung]]*Baukon_alle_A4_join[[#This Row],[Masse '[kg/m²'] min]]</f>
        <v>1.8258174162065844E-3</v>
      </c>
      <c r="AB77" s="132">
        <f>_xlfn.XLOOKUP(Baukon_alle_A4_join[[#This Row],[Transport.Transport-Modus]],LeitRess_Materialien[Name],LeitRess_Materialien[WDP '[m³ weighted water/kg']])*Baukon_alle_A4_join[[#This Row],[Transportdistanz.Voreinstellung]]*Baukon_alle_A4_join[[#This Row],[Masse '[kg/m²'] max]]</f>
        <v>5.4643168715247424E-3</v>
      </c>
      <c r="AC77"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7.4294946205793283E-6</v>
      </c>
      <c r="AD77"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4.470561698097517E-6</v>
      </c>
      <c r="AE77"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1.3379522779917751E-5</v>
      </c>
    </row>
    <row r="78" spans="1:31" x14ac:dyDescent="0.45">
      <c r="A78" t="s">
        <v>87</v>
      </c>
      <c r="B78" t="s">
        <v>222</v>
      </c>
      <c r="C78" t="s">
        <v>230</v>
      </c>
      <c r="D78" t="s">
        <v>109</v>
      </c>
      <c r="F78" t="s">
        <v>227</v>
      </c>
      <c r="G78">
        <v>4.62</v>
      </c>
      <c r="H78">
        <v>2.78</v>
      </c>
      <c r="I78">
        <v>8.32</v>
      </c>
      <c r="J78" t="s">
        <v>228</v>
      </c>
      <c r="K78" t="s">
        <v>17</v>
      </c>
      <c r="L78" t="s">
        <v>305</v>
      </c>
      <c r="M78" t="s">
        <v>253</v>
      </c>
      <c r="N78" s="132">
        <f>_xlfn.XLOOKUP(Baukon_alle_A4_join[[#This Row],[Transport.Transport-Modus]],LeitRess_Materialien[Name],LeitRess_Materialien[RMI '[kg Primärrohstoffe / kg']])*Baukon_alle_A4_join[[#This Row],[Transportdistanz.Voreinstellung]]*Baukon_alle_A4_join[[#This Row],[Masse '[kg/m²'] Referenz]]</f>
        <v>4.0306792917608941E-2</v>
      </c>
      <c r="O78" s="132">
        <f>_xlfn.XLOOKUP(Baukon_alle_A4_join[[#This Row],[Transport.Transport-Modus]],LeitRess_Materialien[Name],LeitRess_Materialien[RMI '[kg Primärrohstoffe / kg']])*Baukon_alle_A4_join[[#This Row],[Transportdistanz.Voreinstellung]]*Baukon_alle_A4_join[[#This Row],[Masse '[kg/m²'] min]]</f>
        <v>2.4253871062976808E-2</v>
      </c>
      <c r="P78" s="132">
        <f>_xlfn.XLOOKUP(Baukon_alle_A4_join[[#This Row],[Transport.Transport-Modus]],LeitRess_Materialien[Name],LeitRess_Materialien[RMI '[kg Primärrohstoffe / kg']])*Baukon_alle_A4_join[[#This Row],[Transportdistanz.Voreinstellung]]*Baukon_alle_A4_join[[#This Row],[Masse '[kg/m²'] max]]</f>
        <v>7.2587124907901826E-2</v>
      </c>
      <c r="Q78" s="132">
        <f>_xlfn.XLOOKUP(Baukon_alle_A4_join[[#This Row],[Transport.Transport-Modus]],LeitRess_Materialien[Name],LeitRess_Materialien[TMR '[kg Gesamtmaterialaufwand/kg']])*Baukon_alle_A4_join[[#This Row],[Transportdistanz.Voreinstellung]]*Baukon_alle_A4_join[[#This Row],[Masse '[kg/m²'] Referenz]]</f>
        <v>4.8039526199101901E-2</v>
      </c>
      <c r="R78" s="132">
        <f>_xlfn.XLOOKUP(Baukon_alle_A4_join[[#This Row],[Transport.Transport-Modus]],LeitRess_Materialien[Name],LeitRess_Materialien[TMR '[kg Gesamtmaterialaufwand/kg']])*Baukon_alle_A4_join[[#This Row],[Transportdistanz.Voreinstellung]]*Baukon_alle_A4_join[[#This Row],[Masse '[kg/m²'] min]]</f>
        <v>2.8906901046212831E-2</v>
      </c>
      <c r="S78" s="132">
        <f>_xlfn.XLOOKUP(Baukon_alle_A4_join[[#This Row],[Transport.Transport-Modus]],LeitRess_Materialien[Name],LeitRess_Materialien[TMR '[kg Gesamtmaterialaufwand/kg']])*Baukon_alle_A4_join[[#This Row],[Transportdistanz.Voreinstellung]]*Baukon_alle_A4_join[[#This Row],[Masse '[kg/m²'] max]]</f>
        <v>8.6512739821759263E-2</v>
      </c>
      <c r="T78" s="132">
        <f>_xlfn.XLOOKUP(Baukon_alle_A4_join[[#This Row],[Transport.Transport-Modus]],LeitRess_Materialien[Name],LeitRess_Materialien[GWP '[kg CO2-Äqu./kg']])*Baukon_alle_A4_join[[#This Row],[Transportdistanz.Voreinstellung]]*Baukon_alle_A4_join[[#This Row],[Masse '[kg/m²'] Referenz]]</f>
        <v>4.4717460025199114E-2</v>
      </c>
      <c r="U78" s="132">
        <f>_xlfn.XLOOKUP(Baukon_alle_A4_join[[#This Row],[Transport.Transport-Modus]],LeitRess_Materialien[Name],LeitRess_Materialien[GWP '[kg CO2-Äqu./kg']])*Baukon_alle_A4_join[[#This Row],[Transportdistanz.Voreinstellung]]*Baukon_alle_A4_join[[#This Row],[Masse '[kg/m²'] min]]</f>
        <v>2.6907908846331933E-2</v>
      </c>
      <c r="V78" s="132">
        <f>_xlfn.XLOOKUP(Baukon_alle_A4_join[[#This Row],[Transport.Transport-Modus]],LeitRess_Materialien[Name],LeitRess_Materialien[GWP '[kg CO2-Äqu./kg']])*Baukon_alle_A4_join[[#This Row],[Transportdistanz.Voreinstellung]]*Baukon_alle_A4_join[[#This Row],[Masse '[kg/m²'] max]]</f>
        <v>8.0530144460964639E-2</v>
      </c>
      <c r="W78" s="132">
        <f>_xlfn.XLOOKUP(Baukon_alle_A4_join[[#This Row],[Transport.Transport-Modus]],LeitRess_Materialien[Name],LeitRess_Materialien[PENRT '[MJ/kg']])*Baukon_alle_A4_join[[#This Row],[Transportdistanz.Voreinstellung]]*Baukon_alle_A4_join[[#This Row],[Masse '[kg/m²'] Referenz]]</f>
        <v>0.279002933748</v>
      </c>
      <c r="X78" s="132">
        <f>_xlfn.XLOOKUP(Baukon_alle_A4_join[[#This Row],[Transport.Transport-Modus]],LeitRess_Materialien[Name],LeitRess_Materialien[PENRT '[MJ/kg']])*Baukon_alle_A4_join[[#This Row],[Transportdistanz.Voreinstellung]]*Baukon_alle_A4_join[[#This Row],[Masse '[kg/m²'] min]]</f>
        <v>0.16788488221199996</v>
      </c>
      <c r="Y78" s="132">
        <f>_xlfn.XLOOKUP(Baukon_alle_A4_join[[#This Row],[Transport.Transport-Modus]],LeitRess_Materialien[Name],LeitRess_Materialien[PENRT '[MJ/kg']])*Baukon_alle_A4_join[[#This Row],[Transportdistanz.Voreinstellung]]*Baukon_alle_A4_join[[#This Row],[Masse '[kg/m²'] max]]</f>
        <v>0.50244684172799992</v>
      </c>
      <c r="Z78" s="132">
        <f>_xlfn.XLOOKUP(Baukon_alle_A4_join[[#This Row],[Transport.Transport-Modus]],LeitRess_Materialien[Name],LeitRess_Materialien[WDP '[m³ weighted water/kg']])*Baukon_alle_A4_join[[#This Row],[Transportdistanz.Voreinstellung]]*Baukon_alle_A4_join[[#This Row],[Masse '[kg/m²'] Referenz]]</f>
        <v>3.0342721089476332E-3</v>
      </c>
      <c r="AA78" s="132">
        <f>_xlfn.XLOOKUP(Baukon_alle_A4_join[[#This Row],[Transport.Transport-Modus]],LeitRess_Materialien[Name],LeitRess_Materialien[WDP '[m³ weighted water/kg']])*Baukon_alle_A4_join[[#This Row],[Transportdistanz.Voreinstellung]]*Baukon_alle_A4_join[[#This Row],[Masse '[kg/m²'] min]]</f>
        <v>1.8258174162065844E-3</v>
      </c>
      <c r="AB78" s="132">
        <f>_xlfn.XLOOKUP(Baukon_alle_A4_join[[#This Row],[Transport.Transport-Modus]],LeitRess_Materialien[Name],LeitRess_Materialien[WDP '[m³ weighted water/kg']])*Baukon_alle_A4_join[[#This Row],[Transportdistanz.Voreinstellung]]*Baukon_alle_A4_join[[#This Row],[Masse '[kg/m²'] max]]</f>
        <v>5.4643168715247424E-3</v>
      </c>
      <c r="AC78"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7.4294946205793283E-6</v>
      </c>
      <c r="AD78"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4.470561698097517E-6</v>
      </c>
      <c r="AE78"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1.3379522779917751E-5</v>
      </c>
    </row>
    <row r="79" spans="1:31" x14ac:dyDescent="0.45">
      <c r="A79" t="s">
        <v>123</v>
      </c>
      <c r="B79" t="s">
        <v>237</v>
      </c>
      <c r="C79" t="s">
        <v>238</v>
      </c>
      <c r="D79" t="s">
        <v>124</v>
      </c>
      <c r="E79" t="s">
        <v>241</v>
      </c>
      <c r="F79" t="s">
        <v>227</v>
      </c>
      <c r="G79">
        <v>4.62</v>
      </c>
      <c r="H79">
        <v>2.78</v>
      </c>
      <c r="I79">
        <v>8.32</v>
      </c>
      <c r="J79" t="s">
        <v>228</v>
      </c>
      <c r="K79" t="s">
        <v>17</v>
      </c>
      <c r="L79" t="s">
        <v>305</v>
      </c>
      <c r="M79" t="s">
        <v>253</v>
      </c>
      <c r="N79" s="132">
        <f>_xlfn.XLOOKUP(Baukon_alle_A4_join[[#This Row],[Transport.Transport-Modus]],LeitRess_Materialien[Name],LeitRess_Materialien[RMI '[kg Primärrohstoffe / kg']])*Baukon_alle_A4_join[[#This Row],[Transportdistanz.Voreinstellung]]*Baukon_alle_A4_join[[#This Row],[Masse '[kg/m²'] Referenz]]</f>
        <v>4.0306792917608941E-2</v>
      </c>
      <c r="O79" s="132">
        <f>_xlfn.XLOOKUP(Baukon_alle_A4_join[[#This Row],[Transport.Transport-Modus]],LeitRess_Materialien[Name],LeitRess_Materialien[RMI '[kg Primärrohstoffe / kg']])*Baukon_alle_A4_join[[#This Row],[Transportdistanz.Voreinstellung]]*Baukon_alle_A4_join[[#This Row],[Masse '[kg/m²'] min]]</f>
        <v>2.4253871062976808E-2</v>
      </c>
      <c r="P79" s="132">
        <f>_xlfn.XLOOKUP(Baukon_alle_A4_join[[#This Row],[Transport.Transport-Modus]],LeitRess_Materialien[Name],LeitRess_Materialien[RMI '[kg Primärrohstoffe / kg']])*Baukon_alle_A4_join[[#This Row],[Transportdistanz.Voreinstellung]]*Baukon_alle_A4_join[[#This Row],[Masse '[kg/m²'] max]]</f>
        <v>7.2587124907901826E-2</v>
      </c>
      <c r="Q79" s="132">
        <f>_xlfn.XLOOKUP(Baukon_alle_A4_join[[#This Row],[Transport.Transport-Modus]],LeitRess_Materialien[Name],LeitRess_Materialien[TMR '[kg Gesamtmaterialaufwand/kg']])*Baukon_alle_A4_join[[#This Row],[Transportdistanz.Voreinstellung]]*Baukon_alle_A4_join[[#This Row],[Masse '[kg/m²'] Referenz]]</f>
        <v>4.8039526199101901E-2</v>
      </c>
      <c r="R79" s="132">
        <f>_xlfn.XLOOKUP(Baukon_alle_A4_join[[#This Row],[Transport.Transport-Modus]],LeitRess_Materialien[Name],LeitRess_Materialien[TMR '[kg Gesamtmaterialaufwand/kg']])*Baukon_alle_A4_join[[#This Row],[Transportdistanz.Voreinstellung]]*Baukon_alle_A4_join[[#This Row],[Masse '[kg/m²'] min]]</f>
        <v>2.8906901046212831E-2</v>
      </c>
      <c r="S79" s="132">
        <f>_xlfn.XLOOKUP(Baukon_alle_A4_join[[#This Row],[Transport.Transport-Modus]],LeitRess_Materialien[Name],LeitRess_Materialien[TMR '[kg Gesamtmaterialaufwand/kg']])*Baukon_alle_A4_join[[#This Row],[Transportdistanz.Voreinstellung]]*Baukon_alle_A4_join[[#This Row],[Masse '[kg/m²'] max]]</f>
        <v>8.6512739821759263E-2</v>
      </c>
      <c r="T79" s="132">
        <f>_xlfn.XLOOKUP(Baukon_alle_A4_join[[#This Row],[Transport.Transport-Modus]],LeitRess_Materialien[Name],LeitRess_Materialien[GWP '[kg CO2-Äqu./kg']])*Baukon_alle_A4_join[[#This Row],[Transportdistanz.Voreinstellung]]*Baukon_alle_A4_join[[#This Row],[Masse '[kg/m²'] Referenz]]</f>
        <v>4.4717460025199114E-2</v>
      </c>
      <c r="U79" s="132">
        <f>_xlfn.XLOOKUP(Baukon_alle_A4_join[[#This Row],[Transport.Transport-Modus]],LeitRess_Materialien[Name],LeitRess_Materialien[GWP '[kg CO2-Äqu./kg']])*Baukon_alle_A4_join[[#This Row],[Transportdistanz.Voreinstellung]]*Baukon_alle_A4_join[[#This Row],[Masse '[kg/m²'] min]]</f>
        <v>2.6907908846331933E-2</v>
      </c>
      <c r="V79" s="132">
        <f>_xlfn.XLOOKUP(Baukon_alle_A4_join[[#This Row],[Transport.Transport-Modus]],LeitRess_Materialien[Name],LeitRess_Materialien[GWP '[kg CO2-Äqu./kg']])*Baukon_alle_A4_join[[#This Row],[Transportdistanz.Voreinstellung]]*Baukon_alle_A4_join[[#This Row],[Masse '[kg/m²'] max]]</f>
        <v>8.0530144460964639E-2</v>
      </c>
      <c r="W79" s="132">
        <f>_xlfn.XLOOKUP(Baukon_alle_A4_join[[#This Row],[Transport.Transport-Modus]],LeitRess_Materialien[Name],LeitRess_Materialien[PENRT '[MJ/kg']])*Baukon_alle_A4_join[[#This Row],[Transportdistanz.Voreinstellung]]*Baukon_alle_A4_join[[#This Row],[Masse '[kg/m²'] Referenz]]</f>
        <v>0.279002933748</v>
      </c>
      <c r="X79" s="132">
        <f>_xlfn.XLOOKUP(Baukon_alle_A4_join[[#This Row],[Transport.Transport-Modus]],LeitRess_Materialien[Name],LeitRess_Materialien[PENRT '[MJ/kg']])*Baukon_alle_A4_join[[#This Row],[Transportdistanz.Voreinstellung]]*Baukon_alle_A4_join[[#This Row],[Masse '[kg/m²'] min]]</f>
        <v>0.16788488221199996</v>
      </c>
      <c r="Y79" s="132">
        <f>_xlfn.XLOOKUP(Baukon_alle_A4_join[[#This Row],[Transport.Transport-Modus]],LeitRess_Materialien[Name],LeitRess_Materialien[PENRT '[MJ/kg']])*Baukon_alle_A4_join[[#This Row],[Transportdistanz.Voreinstellung]]*Baukon_alle_A4_join[[#This Row],[Masse '[kg/m²'] max]]</f>
        <v>0.50244684172799992</v>
      </c>
      <c r="Z79" s="132">
        <f>_xlfn.XLOOKUP(Baukon_alle_A4_join[[#This Row],[Transport.Transport-Modus]],LeitRess_Materialien[Name],LeitRess_Materialien[WDP '[m³ weighted water/kg']])*Baukon_alle_A4_join[[#This Row],[Transportdistanz.Voreinstellung]]*Baukon_alle_A4_join[[#This Row],[Masse '[kg/m²'] Referenz]]</f>
        <v>3.0342721089476332E-3</v>
      </c>
      <c r="AA79" s="132">
        <f>_xlfn.XLOOKUP(Baukon_alle_A4_join[[#This Row],[Transport.Transport-Modus]],LeitRess_Materialien[Name],LeitRess_Materialien[WDP '[m³ weighted water/kg']])*Baukon_alle_A4_join[[#This Row],[Transportdistanz.Voreinstellung]]*Baukon_alle_A4_join[[#This Row],[Masse '[kg/m²'] min]]</f>
        <v>1.8258174162065844E-3</v>
      </c>
      <c r="AB79" s="132">
        <f>_xlfn.XLOOKUP(Baukon_alle_A4_join[[#This Row],[Transport.Transport-Modus]],LeitRess_Materialien[Name],LeitRess_Materialien[WDP '[m³ weighted water/kg']])*Baukon_alle_A4_join[[#This Row],[Transportdistanz.Voreinstellung]]*Baukon_alle_A4_join[[#This Row],[Masse '[kg/m²'] max]]</f>
        <v>5.4643168715247424E-3</v>
      </c>
      <c r="AC79"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7.4294946205793283E-6</v>
      </c>
      <c r="AD79"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4.470561698097517E-6</v>
      </c>
      <c r="AE79"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1.3379522779917751E-5</v>
      </c>
    </row>
    <row r="80" spans="1:31" x14ac:dyDescent="0.45">
      <c r="A80" t="s">
        <v>123</v>
      </c>
      <c r="B80" t="s">
        <v>237</v>
      </c>
      <c r="C80" t="s">
        <v>238</v>
      </c>
      <c r="D80" t="s">
        <v>124</v>
      </c>
      <c r="E80" t="s">
        <v>242</v>
      </c>
      <c r="F80" t="s">
        <v>243</v>
      </c>
      <c r="G80">
        <v>3.7</v>
      </c>
      <c r="H80">
        <v>3.7</v>
      </c>
      <c r="I80">
        <v>3.7</v>
      </c>
      <c r="J80" t="s">
        <v>225</v>
      </c>
      <c r="K80" t="s">
        <v>17</v>
      </c>
      <c r="L80" t="s">
        <v>305</v>
      </c>
      <c r="M80" t="s">
        <v>253</v>
      </c>
      <c r="N80" s="132">
        <f>_xlfn.XLOOKUP(Baukon_alle_A4_join[[#This Row],[Transport.Transport-Modus]],LeitRess_Materialien[Name],LeitRess_Materialien[RMI '[kg Primärrohstoffe / kg']])*Baukon_alle_A4_join[[#This Row],[Transportdistanz.Voreinstellung]]*Baukon_alle_A4_join[[#This Row],[Masse '[kg/m²'] Referenz]]</f>
        <v>3.2280331990292878E-2</v>
      </c>
      <c r="O80" s="132">
        <f>_xlfn.XLOOKUP(Baukon_alle_A4_join[[#This Row],[Transport.Transport-Modus]],LeitRess_Materialien[Name],LeitRess_Materialien[RMI '[kg Primärrohstoffe / kg']])*Baukon_alle_A4_join[[#This Row],[Transportdistanz.Voreinstellung]]*Baukon_alle_A4_join[[#This Row],[Masse '[kg/m²'] min]]</f>
        <v>3.2280331990292878E-2</v>
      </c>
      <c r="P80" s="132">
        <f>_xlfn.XLOOKUP(Baukon_alle_A4_join[[#This Row],[Transport.Transport-Modus]],LeitRess_Materialien[Name],LeitRess_Materialien[RMI '[kg Primärrohstoffe / kg']])*Baukon_alle_A4_join[[#This Row],[Transportdistanz.Voreinstellung]]*Baukon_alle_A4_join[[#This Row],[Masse '[kg/m²'] max]]</f>
        <v>3.2280331990292878E-2</v>
      </c>
      <c r="Q80" s="132">
        <f>_xlfn.XLOOKUP(Baukon_alle_A4_join[[#This Row],[Transport.Transport-Modus]],LeitRess_Materialien[Name],LeitRess_Materialien[TMR '[kg Gesamtmaterialaufwand/kg']])*Baukon_alle_A4_join[[#This Row],[Transportdistanz.Voreinstellung]]*Baukon_alle_A4_join[[#This Row],[Masse '[kg/m²'] Referenz]]</f>
        <v>3.8473213622657369E-2</v>
      </c>
      <c r="R80" s="132">
        <f>_xlfn.XLOOKUP(Baukon_alle_A4_join[[#This Row],[Transport.Transport-Modus]],LeitRess_Materialien[Name],LeitRess_Materialien[TMR '[kg Gesamtmaterialaufwand/kg']])*Baukon_alle_A4_join[[#This Row],[Transportdistanz.Voreinstellung]]*Baukon_alle_A4_join[[#This Row],[Masse '[kg/m²'] min]]</f>
        <v>3.8473213622657369E-2</v>
      </c>
      <c r="S80" s="132">
        <f>_xlfn.XLOOKUP(Baukon_alle_A4_join[[#This Row],[Transport.Transport-Modus]],LeitRess_Materialien[Name],LeitRess_Materialien[TMR '[kg Gesamtmaterialaufwand/kg']])*Baukon_alle_A4_join[[#This Row],[Transportdistanz.Voreinstellung]]*Baukon_alle_A4_join[[#This Row],[Masse '[kg/m²'] max]]</f>
        <v>3.8473213622657369E-2</v>
      </c>
      <c r="T80" s="132">
        <f>_xlfn.XLOOKUP(Baukon_alle_A4_join[[#This Row],[Transport.Transport-Modus]],LeitRess_Materialien[Name],LeitRess_Materialien[GWP '[kg CO2-Äqu./kg']])*Baukon_alle_A4_join[[#This Row],[Transportdistanz.Voreinstellung]]*Baukon_alle_A4_join[[#This Row],[Masse '[kg/m²'] Referenz]]</f>
        <v>3.5812684435765525E-2</v>
      </c>
      <c r="U80" s="132">
        <f>_xlfn.XLOOKUP(Baukon_alle_A4_join[[#This Row],[Transport.Transport-Modus]],LeitRess_Materialien[Name],LeitRess_Materialien[GWP '[kg CO2-Äqu./kg']])*Baukon_alle_A4_join[[#This Row],[Transportdistanz.Voreinstellung]]*Baukon_alle_A4_join[[#This Row],[Masse '[kg/m²'] min]]</f>
        <v>3.5812684435765525E-2</v>
      </c>
      <c r="V80" s="132">
        <f>_xlfn.XLOOKUP(Baukon_alle_A4_join[[#This Row],[Transport.Transport-Modus]],LeitRess_Materialien[Name],LeitRess_Materialien[GWP '[kg CO2-Äqu./kg']])*Baukon_alle_A4_join[[#This Row],[Transportdistanz.Voreinstellung]]*Baukon_alle_A4_join[[#This Row],[Masse '[kg/m²'] max]]</f>
        <v>3.5812684435765525E-2</v>
      </c>
      <c r="W80" s="132">
        <f>_xlfn.XLOOKUP(Baukon_alle_A4_join[[#This Row],[Transport.Transport-Modus]],LeitRess_Materialien[Name],LeitRess_Materialien[PENRT '[MJ/kg']])*Baukon_alle_A4_join[[#This Row],[Transportdistanz.Voreinstellung]]*Baukon_alle_A4_join[[#This Row],[Masse '[kg/m²'] Referenz]]</f>
        <v>0.22344390797999999</v>
      </c>
      <c r="X80" s="132">
        <f>_xlfn.XLOOKUP(Baukon_alle_A4_join[[#This Row],[Transport.Transport-Modus]],LeitRess_Materialien[Name],LeitRess_Materialien[PENRT '[MJ/kg']])*Baukon_alle_A4_join[[#This Row],[Transportdistanz.Voreinstellung]]*Baukon_alle_A4_join[[#This Row],[Masse '[kg/m²'] min]]</f>
        <v>0.22344390797999999</v>
      </c>
      <c r="Y80" s="132">
        <f>_xlfn.XLOOKUP(Baukon_alle_A4_join[[#This Row],[Transport.Transport-Modus]],LeitRess_Materialien[Name],LeitRess_Materialien[PENRT '[MJ/kg']])*Baukon_alle_A4_join[[#This Row],[Transportdistanz.Voreinstellung]]*Baukon_alle_A4_join[[#This Row],[Masse '[kg/m²'] max]]</f>
        <v>0.22344390797999999</v>
      </c>
      <c r="Z80" s="132">
        <f>_xlfn.XLOOKUP(Baukon_alle_A4_join[[#This Row],[Transport.Transport-Modus]],LeitRess_Materialien[Name],LeitRess_Materialien[WDP '[m³ weighted water/kg']])*Baukon_alle_A4_join[[#This Row],[Transportdistanz.Voreinstellung]]*Baukon_alle_A4_join[[#This Row],[Masse '[kg/m²'] Referenz]]</f>
        <v>2.4300447625771092E-3</v>
      </c>
      <c r="AA80" s="132">
        <f>_xlfn.XLOOKUP(Baukon_alle_A4_join[[#This Row],[Transport.Transport-Modus]],LeitRess_Materialien[Name],LeitRess_Materialien[WDP '[m³ weighted water/kg']])*Baukon_alle_A4_join[[#This Row],[Transportdistanz.Voreinstellung]]*Baukon_alle_A4_join[[#This Row],[Masse '[kg/m²'] min]]</f>
        <v>2.4300447625771092E-3</v>
      </c>
      <c r="AB80" s="132">
        <f>_xlfn.XLOOKUP(Baukon_alle_A4_join[[#This Row],[Transport.Transport-Modus]],LeitRess_Materialien[Name],LeitRess_Materialien[WDP '[m³ weighted water/kg']])*Baukon_alle_A4_join[[#This Row],[Transportdistanz.Voreinstellung]]*Baukon_alle_A4_join[[#This Row],[Masse '[kg/m²'] max]]</f>
        <v>2.4300447625771092E-3</v>
      </c>
      <c r="AC80"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5.9500281593384235E-6</v>
      </c>
      <c r="AD80"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5.9500281593384235E-6</v>
      </c>
      <c r="AE80"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5.9500281593384235E-6</v>
      </c>
    </row>
    <row r="81" spans="1:31" x14ac:dyDescent="0.45">
      <c r="A81" t="s">
        <v>87</v>
      </c>
      <c r="B81" t="s">
        <v>222</v>
      </c>
      <c r="C81" t="s">
        <v>223</v>
      </c>
      <c r="D81" t="s">
        <v>106</v>
      </c>
      <c r="F81" t="s">
        <v>229</v>
      </c>
      <c r="G81">
        <v>30</v>
      </c>
      <c r="H81">
        <v>30</v>
      </c>
      <c r="I81">
        <v>30</v>
      </c>
      <c r="J81" t="s">
        <v>225</v>
      </c>
      <c r="K81" t="s">
        <v>17</v>
      </c>
      <c r="L81" t="s">
        <v>305</v>
      </c>
      <c r="M81" t="s">
        <v>253</v>
      </c>
      <c r="N81" s="132">
        <f>_xlfn.XLOOKUP(Baukon_alle_A4_join[[#This Row],[Transport.Transport-Modus]],LeitRess_Materialien[Name],LeitRess_Materialien[RMI '[kg Primärrohstoffe / kg']])*Baukon_alle_A4_join[[#This Row],[Transportdistanz.Voreinstellung]]*Baukon_alle_A4_join[[#This Row],[Masse '[kg/m²'] Referenz]]</f>
        <v>0.26173242154291521</v>
      </c>
      <c r="O81" s="132">
        <f>_xlfn.XLOOKUP(Baukon_alle_A4_join[[#This Row],[Transport.Transport-Modus]],LeitRess_Materialien[Name],LeitRess_Materialien[RMI '[kg Primärrohstoffe / kg']])*Baukon_alle_A4_join[[#This Row],[Transportdistanz.Voreinstellung]]*Baukon_alle_A4_join[[#This Row],[Masse '[kg/m²'] min]]</f>
        <v>0.26173242154291521</v>
      </c>
      <c r="P81" s="132">
        <f>_xlfn.XLOOKUP(Baukon_alle_A4_join[[#This Row],[Transport.Transport-Modus]],LeitRess_Materialien[Name],LeitRess_Materialien[RMI '[kg Primärrohstoffe / kg']])*Baukon_alle_A4_join[[#This Row],[Transportdistanz.Voreinstellung]]*Baukon_alle_A4_join[[#This Row],[Masse '[kg/m²'] max]]</f>
        <v>0.26173242154291521</v>
      </c>
      <c r="Q81" s="132">
        <f>_xlfn.XLOOKUP(Baukon_alle_A4_join[[#This Row],[Transport.Transport-Modus]],LeitRess_Materialien[Name],LeitRess_Materialien[TMR '[kg Gesamtmaterialaufwand/kg']])*Baukon_alle_A4_join[[#This Row],[Transportdistanz.Voreinstellung]]*Baukon_alle_A4_join[[#This Row],[Masse '[kg/m²'] Referenz]]</f>
        <v>0.31194497531884352</v>
      </c>
      <c r="R81" s="132">
        <f>_xlfn.XLOOKUP(Baukon_alle_A4_join[[#This Row],[Transport.Transport-Modus]],LeitRess_Materialien[Name],LeitRess_Materialien[TMR '[kg Gesamtmaterialaufwand/kg']])*Baukon_alle_A4_join[[#This Row],[Transportdistanz.Voreinstellung]]*Baukon_alle_A4_join[[#This Row],[Masse '[kg/m²'] min]]</f>
        <v>0.31194497531884352</v>
      </c>
      <c r="S81" s="132">
        <f>_xlfn.XLOOKUP(Baukon_alle_A4_join[[#This Row],[Transport.Transport-Modus]],LeitRess_Materialien[Name],LeitRess_Materialien[TMR '[kg Gesamtmaterialaufwand/kg']])*Baukon_alle_A4_join[[#This Row],[Transportdistanz.Voreinstellung]]*Baukon_alle_A4_join[[#This Row],[Masse '[kg/m²'] max]]</f>
        <v>0.31194497531884352</v>
      </c>
      <c r="T81" s="132">
        <f>_xlfn.XLOOKUP(Baukon_alle_A4_join[[#This Row],[Transport.Transport-Modus]],LeitRess_Materialien[Name],LeitRess_Materialien[GWP '[kg CO2-Äqu./kg']])*Baukon_alle_A4_join[[#This Row],[Transportdistanz.Voreinstellung]]*Baukon_alle_A4_join[[#This Row],[Masse '[kg/m²'] Referenz]]</f>
        <v>0.29037311704674751</v>
      </c>
      <c r="U81" s="132">
        <f>_xlfn.XLOOKUP(Baukon_alle_A4_join[[#This Row],[Transport.Transport-Modus]],LeitRess_Materialien[Name],LeitRess_Materialien[GWP '[kg CO2-Äqu./kg']])*Baukon_alle_A4_join[[#This Row],[Transportdistanz.Voreinstellung]]*Baukon_alle_A4_join[[#This Row],[Masse '[kg/m²'] min]]</f>
        <v>0.29037311704674751</v>
      </c>
      <c r="V81" s="132">
        <f>_xlfn.XLOOKUP(Baukon_alle_A4_join[[#This Row],[Transport.Transport-Modus]],LeitRess_Materialien[Name],LeitRess_Materialien[GWP '[kg CO2-Äqu./kg']])*Baukon_alle_A4_join[[#This Row],[Transportdistanz.Voreinstellung]]*Baukon_alle_A4_join[[#This Row],[Masse '[kg/m²'] max]]</f>
        <v>0.29037311704674751</v>
      </c>
      <c r="W81" s="132">
        <f>_xlfn.XLOOKUP(Baukon_alle_A4_join[[#This Row],[Transport.Transport-Modus]],LeitRess_Materialien[Name],LeitRess_Materialien[PENRT '[MJ/kg']])*Baukon_alle_A4_join[[#This Row],[Transportdistanz.Voreinstellung]]*Baukon_alle_A4_join[[#This Row],[Masse '[kg/m²'] Referenz]]</f>
        <v>1.8117073619999997</v>
      </c>
      <c r="X81" s="132">
        <f>_xlfn.XLOOKUP(Baukon_alle_A4_join[[#This Row],[Transport.Transport-Modus]],LeitRess_Materialien[Name],LeitRess_Materialien[PENRT '[MJ/kg']])*Baukon_alle_A4_join[[#This Row],[Transportdistanz.Voreinstellung]]*Baukon_alle_A4_join[[#This Row],[Masse '[kg/m²'] min]]</f>
        <v>1.8117073619999997</v>
      </c>
      <c r="Y81" s="132">
        <f>_xlfn.XLOOKUP(Baukon_alle_A4_join[[#This Row],[Transport.Transport-Modus]],LeitRess_Materialien[Name],LeitRess_Materialien[PENRT '[MJ/kg']])*Baukon_alle_A4_join[[#This Row],[Transportdistanz.Voreinstellung]]*Baukon_alle_A4_join[[#This Row],[Masse '[kg/m²'] max]]</f>
        <v>1.8117073619999997</v>
      </c>
      <c r="Z81" s="132">
        <f>_xlfn.XLOOKUP(Baukon_alle_A4_join[[#This Row],[Transport.Transport-Modus]],LeitRess_Materialien[Name],LeitRess_Materialien[WDP '[m³ weighted water/kg']])*Baukon_alle_A4_join[[#This Row],[Transportdistanz.Voreinstellung]]*Baukon_alle_A4_join[[#This Row],[Masse '[kg/m²'] Referenz]]</f>
        <v>1.9703065642517101E-2</v>
      </c>
      <c r="AA81" s="132">
        <f>_xlfn.XLOOKUP(Baukon_alle_A4_join[[#This Row],[Transport.Transport-Modus]],LeitRess_Materialien[Name],LeitRess_Materialien[WDP '[m³ weighted water/kg']])*Baukon_alle_A4_join[[#This Row],[Transportdistanz.Voreinstellung]]*Baukon_alle_A4_join[[#This Row],[Masse '[kg/m²'] min]]</f>
        <v>1.9703065642517101E-2</v>
      </c>
      <c r="AB81" s="132">
        <f>_xlfn.XLOOKUP(Baukon_alle_A4_join[[#This Row],[Transport.Transport-Modus]],LeitRess_Materialien[Name],LeitRess_Materialien[WDP '[m³ weighted water/kg']])*Baukon_alle_A4_join[[#This Row],[Transportdistanz.Voreinstellung]]*Baukon_alle_A4_join[[#This Row],[Masse '[kg/m²'] max]]</f>
        <v>1.9703065642517101E-2</v>
      </c>
      <c r="AC81"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4.8243471562203435E-5</v>
      </c>
      <c r="AD81"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4.8243471562203435E-5</v>
      </c>
      <c r="AE81"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4.8243471562203435E-5</v>
      </c>
    </row>
    <row r="82" spans="1:31" x14ac:dyDescent="0.45">
      <c r="A82" t="s">
        <v>87</v>
      </c>
      <c r="B82" t="s">
        <v>222</v>
      </c>
      <c r="C82" t="s">
        <v>230</v>
      </c>
      <c r="D82" t="s">
        <v>109</v>
      </c>
      <c r="F82" t="s">
        <v>229</v>
      </c>
      <c r="G82">
        <v>30</v>
      </c>
      <c r="H82">
        <v>30</v>
      </c>
      <c r="I82">
        <v>30</v>
      </c>
      <c r="J82" t="s">
        <v>225</v>
      </c>
      <c r="K82" t="s">
        <v>17</v>
      </c>
      <c r="L82" t="s">
        <v>305</v>
      </c>
      <c r="M82" t="s">
        <v>253</v>
      </c>
      <c r="N82" s="132">
        <f>_xlfn.XLOOKUP(Baukon_alle_A4_join[[#This Row],[Transport.Transport-Modus]],LeitRess_Materialien[Name],LeitRess_Materialien[RMI '[kg Primärrohstoffe / kg']])*Baukon_alle_A4_join[[#This Row],[Transportdistanz.Voreinstellung]]*Baukon_alle_A4_join[[#This Row],[Masse '[kg/m²'] Referenz]]</f>
        <v>0.26173242154291521</v>
      </c>
      <c r="O82" s="132">
        <f>_xlfn.XLOOKUP(Baukon_alle_A4_join[[#This Row],[Transport.Transport-Modus]],LeitRess_Materialien[Name],LeitRess_Materialien[RMI '[kg Primärrohstoffe / kg']])*Baukon_alle_A4_join[[#This Row],[Transportdistanz.Voreinstellung]]*Baukon_alle_A4_join[[#This Row],[Masse '[kg/m²'] min]]</f>
        <v>0.26173242154291521</v>
      </c>
      <c r="P82" s="132">
        <f>_xlfn.XLOOKUP(Baukon_alle_A4_join[[#This Row],[Transport.Transport-Modus]],LeitRess_Materialien[Name],LeitRess_Materialien[RMI '[kg Primärrohstoffe / kg']])*Baukon_alle_A4_join[[#This Row],[Transportdistanz.Voreinstellung]]*Baukon_alle_A4_join[[#This Row],[Masse '[kg/m²'] max]]</f>
        <v>0.26173242154291521</v>
      </c>
      <c r="Q82" s="132">
        <f>_xlfn.XLOOKUP(Baukon_alle_A4_join[[#This Row],[Transport.Transport-Modus]],LeitRess_Materialien[Name],LeitRess_Materialien[TMR '[kg Gesamtmaterialaufwand/kg']])*Baukon_alle_A4_join[[#This Row],[Transportdistanz.Voreinstellung]]*Baukon_alle_A4_join[[#This Row],[Masse '[kg/m²'] Referenz]]</f>
        <v>0.31194497531884352</v>
      </c>
      <c r="R82" s="132">
        <f>_xlfn.XLOOKUP(Baukon_alle_A4_join[[#This Row],[Transport.Transport-Modus]],LeitRess_Materialien[Name],LeitRess_Materialien[TMR '[kg Gesamtmaterialaufwand/kg']])*Baukon_alle_A4_join[[#This Row],[Transportdistanz.Voreinstellung]]*Baukon_alle_A4_join[[#This Row],[Masse '[kg/m²'] min]]</f>
        <v>0.31194497531884352</v>
      </c>
      <c r="S82" s="132">
        <f>_xlfn.XLOOKUP(Baukon_alle_A4_join[[#This Row],[Transport.Transport-Modus]],LeitRess_Materialien[Name],LeitRess_Materialien[TMR '[kg Gesamtmaterialaufwand/kg']])*Baukon_alle_A4_join[[#This Row],[Transportdistanz.Voreinstellung]]*Baukon_alle_A4_join[[#This Row],[Masse '[kg/m²'] max]]</f>
        <v>0.31194497531884352</v>
      </c>
      <c r="T82" s="132">
        <f>_xlfn.XLOOKUP(Baukon_alle_A4_join[[#This Row],[Transport.Transport-Modus]],LeitRess_Materialien[Name],LeitRess_Materialien[GWP '[kg CO2-Äqu./kg']])*Baukon_alle_A4_join[[#This Row],[Transportdistanz.Voreinstellung]]*Baukon_alle_A4_join[[#This Row],[Masse '[kg/m²'] Referenz]]</f>
        <v>0.29037311704674751</v>
      </c>
      <c r="U82" s="132">
        <f>_xlfn.XLOOKUP(Baukon_alle_A4_join[[#This Row],[Transport.Transport-Modus]],LeitRess_Materialien[Name],LeitRess_Materialien[GWP '[kg CO2-Äqu./kg']])*Baukon_alle_A4_join[[#This Row],[Transportdistanz.Voreinstellung]]*Baukon_alle_A4_join[[#This Row],[Masse '[kg/m²'] min]]</f>
        <v>0.29037311704674751</v>
      </c>
      <c r="V82" s="132">
        <f>_xlfn.XLOOKUP(Baukon_alle_A4_join[[#This Row],[Transport.Transport-Modus]],LeitRess_Materialien[Name],LeitRess_Materialien[GWP '[kg CO2-Äqu./kg']])*Baukon_alle_A4_join[[#This Row],[Transportdistanz.Voreinstellung]]*Baukon_alle_A4_join[[#This Row],[Masse '[kg/m²'] max]]</f>
        <v>0.29037311704674751</v>
      </c>
      <c r="W82" s="132">
        <f>_xlfn.XLOOKUP(Baukon_alle_A4_join[[#This Row],[Transport.Transport-Modus]],LeitRess_Materialien[Name],LeitRess_Materialien[PENRT '[MJ/kg']])*Baukon_alle_A4_join[[#This Row],[Transportdistanz.Voreinstellung]]*Baukon_alle_A4_join[[#This Row],[Masse '[kg/m²'] Referenz]]</f>
        <v>1.8117073619999997</v>
      </c>
      <c r="X82" s="132">
        <f>_xlfn.XLOOKUP(Baukon_alle_A4_join[[#This Row],[Transport.Transport-Modus]],LeitRess_Materialien[Name],LeitRess_Materialien[PENRT '[MJ/kg']])*Baukon_alle_A4_join[[#This Row],[Transportdistanz.Voreinstellung]]*Baukon_alle_A4_join[[#This Row],[Masse '[kg/m²'] min]]</f>
        <v>1.8117073619999997</v>
      </c>
      <c r="Y82" s="132">
        <f>_xlfn.XLOOKUP(Baukon_alle_A4_join[[#This Row],[Transport.Transport-Modus]],LeitRess_Materialien[Name],LeitRess_Materialien[PENRT '[MJ/kg']])*Baukon_alle_A4_join[[#This Row],[Transportdistanz.Voreinstellung]]*Baukon_alle_A4_join[[#This Row],[Masse '[kg/m²'] max]]</f>
        <v>1.8117073619999997</v>
      </c>
      <c r="Z82" s="132">
        <f>_xlfn.XLOOKUP(Baukon_alle_A4_join[[#This Row],[Transport.Transport-Modus]],LeitRess_Materialien[Name],LeitRess_Materialien[WDP '[m³ weighted water/kg']])*Baukon_alle_A4_join[[#This Row],[Transportdistanz.Voreinstellung]]*Baukon_alle_A4_join[[#This Row],[Masse '[kg/m²'] Referenz]]</f>
        <v>1.9703065642517101E-2</v>
      </c>
      <c r="AA82" s="132">
        <f>_xlfn.XLOOKUP(Baukon_alle_A4_join[[#This Row],[Transport.Transport-Modus]],LeitRess_Materialien[Name],LeitRess_Materialien[WDP '[m³ weighted water/kg']])*Baukon_alle_A4_join[[#This Row],[Transportdistanz.Voreinstellung]]*Baukon_alle_A4_join[[#This Row],[Masse '[kg/m²'] min]]</f>
        <v>1.9703065642517101E-2</v>
      </c>
      <c r="AB82" s="132">
        <f>_xlfn.XLOOKUP(Baukon_alle_A4_join[[#This Row],[Transport.Transport-Modus]],LeitRess_Materialien[Name],LeitRess_Materialien[WDP '[m³ weighted water/kg']])*Baukon_alle_A4_join[[#This Row],[Transportdistanz.Voreinstellung]]*Baukon_alle_A4_join[[#This Row],[Masse '[kg/m²'] max]]</f>
        <v>1.9703065642517101E-2</v>
      </c>
      <c r="AC82"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4.8243471562203435E-5</v>
      </c>
      <c r="AD82"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4.8243471562203435E-5</v>
      </c>
      <c r="AE82"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4.8243471562203435E-5</v>
      </c>
    </row>
    <row r="83" spans="1:31" x14ac:dyDescent="0.45">
      <c r="A83" t="s">
        <v>120</v>
      </c>
      <c r="B83" t="s">
        <v>232</v>
      </c>
      <c r="C83" t="s">
        <v>233</v>
      </c>
      <c r="D83" t="s">
        <v>121</v>
      </c>
      <c r="F83" t="s">
        <v>234</v>
      </c>
      <c r="G83">
        <v>37.5</v>
      </c>
      <c r="H83">
        <v>37.5</v>
      </c>
      <c r="I83">
        <v>37.5</v>
      </c>
      <c r="J83" t="s">
        <v>225</v>
      </c>
      <c r="K83" t="s">
        <v>17</v>
      </c>
      <c r="L83" t="s">
        <v>305</v>
      </c>
      <c r="M83" t="s">
        <v>253</v>
      </c>
      <c r="N83" s="132">
        <f>_xlfn.XLOOKUP(Baukon_alle_A4_join[[#This Row],[Transport.Transport-Modus]],LeitRess_Materialien[Name],LeitRess_Materialien[RMI '[kg Primärrohstoffe / kg']])*Baukon_alle_A4_join[[#This Row],[Transportdistanz.Voreinstellung]]*Baukon_alle_A4_join[[#This Row],[Masse '[kg/m²'] Referenz]]</f>
        <v>0.32716552692864403</v>
      </c>
      <c r="O83" s="132">
        <f>_xlfn.XLOOKUP(Baukon_alle_A4_join[[#This Row],[Transport.Transport-Modus]],LeitRess_Materialien[Name],LeitRess_Materialien[RMI '[kg Primärrohstoffe / kg']])*Baukon_alle_A4_join[[#This Row],[Transportdistanz.Voreinstellung]]*Baukon_alle_A4_join[[#This Row],[Masse '[kg/m²'] min]]</f>
        <v>0.32716552692864403</v>
      </c>
      <c r="P83" s="132">
        <f>_xlfn.XLOOKUP(Baukon_alle_A4_join[[#This Row],[Transport.Transport-Modus]],LeitRess_Materialien[Name],LeitRess_Materialien[RMI '[kg Primärrohstoffe / kg']])*Baukon_alle_A4_join[[#This Row],[Transportdistanz.Voreinstellung]]*Baukon_alle_A4_join[[#This Row],[Masse '[kg/m²'] max]]</f>
        <v>0.32716552692864403</v>
      </c>
      <c r="Q83" s="132">
        <f>_xlfn.XLOOKUP(Baukon_alle_A4_join[[#This Row],[Transport.Transport-Modus]],LeitRess_Materialien[Name],LeitRess_Materialien[TMR '[kg Gesamtmaterialaufwand/kg']])*Baukon_alle_A4_join[[#This Row],[Transportdistanz.Voreinstellung]]*Baukon_alle_A4_join[[#This Row],[Masse '[kg/m²'] Referenz]]</f>
        <v>0.38993121914855439</v>
      </c>
      <c r="R83" s="132">
        <f>_xlfn.XLOOKUP(Baukon_alle_A4_join[[#This Row],[Transport.Transport-Modus]],LeitRess_Materialien[Name],LeitRess_Materialien[TMR '[kg Gesamtmaterialaufwand/kg']])*Baukon_alle_A4_join[[#This Row],[Transportdistanz.Voreinstellung]]*Baukon_alle_A4_join[[#This Row],[Masse '[kg/m²'] min]]</f>
        <v>0.38993121914855439</v>
      </c>
      <c r="S83" s="132">
        <f>_xlfn.XLOOKUP(Baukon_alle_A4_join[[#This Row],[Transport.Transport-Modus]],LeitRess_Materialien[Name],LeitRess_Materialien[TMR '[kg Gesamtmaterialaufwand/kg']])*Baukon_alle_A4_join[[#This Row],[Transportdistanz.Voreinstellung]]*Baukon_alle_A4_join[[#This Row],[Masse '[kg/m²'] max]]</f>
        <v>0.38993121914855439</v>
      </c>
      <c r="T83" s="132">
        <f>_xlfn.XLOOKUP(Baukon_alle_A4_join[[#This Row],[Transport.Transport-Modus]],LeitRess_Materialien[Name],LeitRess_Materialien[GWP '[kg CO2-Äqu./kg']])*Baukon_alle_A4_join[[#This Row],[Transportdistanz.Voreinstellung]]*Baukon_alle_A4_join[[#This Row],[Masse '[kg/m²'] Referenz]]</f>
        <v>0.36296639630843436</v>
      </c>
      <c r="U83" s="132">
        <f>_xlfn.XLOOKUP(Baukon_alle_A4_join[[#This Row],[Transport.Transport-Modus]],LeitRess_Materialien[Name],LeitRess_Materialien[GWP '[kg CO2-Äqu./kg']])*Baukon_alle_A4_join[[#This Row],[Transportdistanz.Voreinstellung]]*Baukon_alle_A4_join[[#This Row],[Masse '[kg/m²'] min]]</f>
        <v>0.36296639630843436</v>
      </c>
      <c r="V83" s="132">
        <f>_xlfn.XLOOKUP(Baukon_alle_A4_join[[#This Row],[Transport.Transport-Modus]],LeitRess_Materialien[Name],LeitRess_Materialien[GWP '[kg CO2-Äqu./kg']])*Baukon_alle_A4_join[[#This Row],[Transportdistanz.Voreinstellung]]*Baukon_alle_A4_join[[#This Row],[Masse '[kg/m²'] max]]</f>
        <v>0.36296639630843436</v>
      </c>
      <c r="W83" s="132">
        <f>_xlfn.XLOOKUP(Baukon_alle_A4_join[[#This Row],[Transport.Transport-Modus]],LeitRess_Materialien[Name],LeitRess_Materialien[PENRT '[MJ/kg']])*Baukon_alle_A4_join[[#This Row],[Transportdistanz.Voreinstellung]]*Baukon_alle_A4_join[[#This Row],[Masse '[kg/m²'] Referenz]]</f>
        <v>2.2646342024999999</v>
      </c>
      <c r="X83" s="132">
        <f>_xlfn.XLOOKUP(Baukon_alle_A4_join[[#This Row],[Transport.Transport-Modus]],LeitRess_Materialien[Name],LeitRess_Materialien[PENRT '[MJ/kg']])*Baukon_alle_A4_join[[#This Row],[Transportdistanz.Voreinstellung]]*Baukon_alle_A4_join[[#This Row],[Masse '[kg/m²'] min]]</f>
        <v>2.2646342024999999</v>
      </c>
      <c r="Y83" s="132">
        <f>_xlfn.XLOOKUP(Baukon_alle_A4_join[[#This Row],[Transport.Transport-Modus]],LeitRess_Materialien[Name],LeitRess_Materialien[PENRT '[MJ/kg']])*Baukon_alle_A4_join[[#This Row],[Transportdistanz.Voreinstellung]]*Baukon_alle_A4_join[[#This Row],[Masse '[kg/m²'] max]]</f>
        <v>2.2646342024999999</v>
      </c>
      <c r="Z83" s="132">
        <f>_xlfn.XLOOKUP(Baukon_alle_A4_join[[#This Row],[Transport.Transport-Modus]],LeitRess_Materialien[Name],LeitRess_Materialien[WDP '[m³ weighted water/kg']])*Baukon_alle_A4_join[[#This Row],[Transportdistanz.Voreinstellung]]*Baukon_alle_A4_join[[#This Row],[Masse '[kg/m²'] Referenz]]</f>
        <v>2.4628832053146373E-2</v>
      </c>
      <c r="AA83" s="132">
        <f>_xlfn.XLOOKUP(Baukon_alle_A4_join[[#This Row],[Transport.Transport-Modus]],LeitRess_Materialien[Name],LeitRess_Materialien[WDP '[m³ weighted water/kg']])*Baukon_alle_A4_join[[#This Row],[Transportdistanz.Voreinstellung]]*Baukon_alle_A4_join[[#This Row],[Masse '[kg/m²'] min]]</f>
        <v>2.4628832053146373E-2</v>
      </c>
      <c r="AB83" s="132">
        <f>_xlfn.XLOOKUP(Baukon_alle_A4_join[[#This Row],[Transport.Transport-Modus]],LeitRess_Materialien[Name],LeitRess_Materialien[WDP '[m³ weighted water/kg']])*Baukon_alle_A4_join[[#This Row],[Transportdistanz.Voreinstellung]]*Baukon_alle_A4_join[[#This Row],[Masse '[kg/m²'] max]]</f>
        <v>2.4628832053146373E-2</v>
      </c>
      <c r="AC83"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6.0304339452754301E-5</v>
      </c>
      <c r="AD83"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6.0304339452754301E-5</v>
      </c>
      <c r="AE83"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6.0304339452754301E-5</v>
      </c>
    </row>
    <row r="84" spans="1:31" x14ac:dyDescent="0.45">
      <c r="A84" t="s">
        <v>53</v>
      </c>
      <c r="B84" t="s">
        <v>302</v>
      </c>
      <c r="C84" t="s">
        <v>303</v>
      </c>
      <c r="D84" t="s">
        <v>86</v>
      </c>
      <c r="E84" t="s">
        <v>351</v>
      </c>
      <c r="F84" t="s">
        <v>231</v>
      </c>
      <c r="G84">
        <v>960</v>
      </c>
      <c r="H84">
        <v>960</v>
      </c>
      <c r="I84">
        <v>960</v>
      </c>
      <c r="K84" t="s">
        <v>17</v>
      </c>
      <c r="L84" t="s">
        <v>352</v>
      </c>
      <c r="M84" t="s">
        <v>253</v>
      </c>
      <c r="N84" s="132">
        <f>_xlfn.XLOOKUP(Baukon_alle_A4_join[[#This Row],[Transport.Transport-Modus]],LeitRess_Materialien[Name],LeitRess_Materialien[RMI '[kg Primärrohstoffe / kg']])*Baukon_alle_A4_join[[#This Row],[Transportdistanz.Voreinstellung]]*Baukon_alle_A4_join[[#This Row],[Masse '[kg/m²'] Referenz]]</f>
        <v>16.750874978746573</v>
      </c>
      <c r="O84" s="132">
        <f>_xlfn.XLOOKUP(Baukon_alle_A4_join[[#This Row],[Transport.Transport-Modus]],LeitRess_Materialien[Name],LeitRess_Materialien[RMI '[kg Primärrohstoffe / kg']])*Baukon_alle_A4_join[[#This Row],[Transportdistanz.Voreinstellung]]*Baukon_alle_A4_join[[#This Row],[Masse '[kg/m²'] min]]</f>
        <v>16.750874978746573</v>
      </c>
      <c r="P84" s="132">
        <f>_xlfn.XLOOKUP(Baukon_alle_A4_join[[#This Row],[Transport.Transport-Modus]],LeitRess_Materialien[Name],LeitRess_Materialien[RMI '[kg Primärrohstoffe / kg']])*Baukon_alle_A4_join[[#This Row],[Transportdistanz.Voreinstellung]]*Baukon_alle_A4_join[[#This Row],[Masse '[kg/m²'] max]]</f>
        <v>16.750874978746573</v>
      </c>
      <c r="Q84" s="132">
        <f>_xlfn.XLOOKUP(Baukon_alle_A4_join[[#This Row],[Transport.Transport-Modus]],LeitRess_Materialien[Name],LeitRess_Materialien[TMR '[kg Gesamtmaterialaufwand/kg']])*Baukon_alle_A4_join[[#This Row],[Transportdistanz.Voreinstellung]]*Baukon_alle_A4_join[[#This Row],[Masse '[kg/m²'] Referenz]]</f>
        <v>19.964478420405985</v>
      </c>
      <c r="R84" s="132">
        <f>_xlfn.XLOOKUP(Baukon_alle_A4_join[[#This Row],[Transport.Transport-Modus]],LeitRess_Materialien[Name],LeitRess_Materialien[TMR '[kg Gesamtmaterialaufwand/kg']])*Baukon_alle_A4_join[[#This Row],[Transportdistanz.Voreinstellung]]*Baukon_alle_A4_join[[#This Row],[Masse '[kg/m²'] min]]</f>
        <v>19.964478420405985</v>
      </c>
      <c r="S84" s="132">
        <f>_xlfn.XLOOKUP(Baukon_alle_A4_join[[#This Row],[Transport.Transport-Modus]],LeitRess_Materialien[Name],LeitRess_Materialien[TMR '[kg Gesamtmaterialaufwand/kg']])*Baukon_alle_A4_join[[#This Row],[Transportdistanz.Voreinstellung]]*Baukon_alle_A4_join[[#This Row],[Masse '[kg/m²'] max]]</f>
        <v>19.964478420405985</v>
      </c>
      <c r="T84" s="132">
        <f>_xlfn.XLOOKUP(Baukon_alle_A4_join[[#This Row],[Transport.Transport-Modus]],LeitRess_Materialien[Name],LeitRess_Materialien[GWP '[kg CO2-Äqu./kg']])*Baukon_alle_A4_join[[#This Row],[Transportdistanz.Voreinstellung]]*Baukon_alle_A4_join[[#This Row],[Masse '[kg/m²'] Referenz]]</f>
        <v>18.583879490991841</v>
      </c>
      <c r="U84" s="132">
        <f>_xlfn.XLOOKUP(Baukon_alle_A4_join[[#This Row],[Transport.Transport-Modus]],LeitRess_Materialien[Name],LeitRess_Materialien[GWP '[kg CO2-Äqu./kg']])*Baukon_alle_A4_join[[#This Row],[Transportdistanz.Voreinstellung]]*Baukon_alle_A4_join[[#This Row],[Masse '[kg/m²'] min]]</f>
        <v>18.583879490991841</v>
      </c>
      <c r="V84" s="132">
        <f>_xlfn.XLOOKUP(Baukon_alle_A4_join[[#This Row],[Transport.Transport-Modus]],LeitRess_Materialien[Name],LeitRess_Materialien[GWP '[kg CO2-Äqu./kg']])*Baukon_alle_A4_join[[#This Row],[Transportdistanz.Voreinstellung]]*Baukon_alle_A4_join[[#This Row],[Masse '[kg/m²'] max]]</f>
        <v>18.583879490991841</v>
      </c>
      <c r="W84" s="132">
        <f>_xlfn.XLOOKUP(Baukon_alle_A4_join[[#This Row],[Transport.Transport-Modus]],LeitRess_Materialien[Name],LeitRess_Materialien[PENRT '[MJ/kg']])*Baukon_alle_A4_join[[#This Row],[Transportdistanz.Voreinstellung]]*Baukon_alle_A4_join[[#This Row],[Masse '[kg/m²'] Referenz]]</f>
        <v>115.94927116799998</v>
      </c>
      <c r="X84" s="132">
        <f>_xlfn.XLOOKUP(Baukon_alle_A4_join[[#This Row],[Transport.Transport-Modus]],LeitRess_Materialien[Name],LeitRess_Materialien[PENRT '[MJ/kg']])*Baukon_alle_A4_join[[#This Row],[Transportdistanz.Voreinstellung]]*Baukon_alle_A4_join[[#This Row],[Masse '[kg/m²'] min]]</f>
        <v>115.94927116799998</v>
      </c>
      <c r="Y84" s="132">
        <f>_xlfn.XLOOKUP(Baukon_alle_A4_join[[#This Row],[Transport.Transport-Modus]],LeitRess_Materialien[Name],LeitRess_Materialien[PENRT '[MJ/kg']])*Baukon_alle_A4_join[[#This Row],[Transportdistanz.Voreinstellung]]*Baukon_alle_A4_join[[#This Row],[Masse '[kg/m²'] max]]</f>
        <v>115.94927116799998</v>
      </c>
      <c r="Z84" s="132">
        <f>_xlfn.XLOOKUP(Baukon_alle_A4_join[[#This Row],[Transport.Transport-Modus]],LeitRess_Materialien[Name],LeitRess_Materialien[WDP '[m³ weighted water/kg']])*Baukon_alle_A4_join[[#This Row],[Transportdistanz.Voreinstellung]]*Baukon_alle_A4_join[[#This Row],[Masse '[kg/m²'] Referenz]]</f>
        <v>1.2609962011210945</v>
      </c>
      <c r="AA84" s="132">
        <f>_xlfn.XLOOKUP(Baukon_alle_A4_join[[#This Row],[Transport.Transport-Modus]],LeitRess_Materialien[Name],LeitRess_Materialien[WDP '[m³ weighted water/kg']])*Baukon_alle_A4_join[[#This Row],[Transportdistanz.Voreinstellung]]*Baukon_alle_A4_join[[#This Row],[Masse '[kg/m²'] min]]</f>
        <v>1.2609962011210945</v>
      </c>
      <c r="AB84" s="132">
        <f>_xlfn.XLOOKUP(Baukon_alle_A4_join[[#This Row],[Transport.Transport-Modus]],LeitRess_Materialien[Name],LeitRess_Materialien[WDP '[m³ weighted water/kg']])*Baukon_alle_A4_join[[#This Row],[Transportdistanz.Voreinstellung]]*Baukon_alle_A4_join[[#This Row],[Masse '[kg/m²'] max]]</f>
        <v>1.2609962011210945</v>
      </c>
      <c r="AC84"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3.0875821799810198E-3</v>
      </c>
      <c r="AD84"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3.0875821799810198E-3</v>
      </c>
      <c r="AE84"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3.0875821799810198E-3</v>
      </c>
    </row>
    <row r="85" spans="1:31" x14ac:dyDescent="0.45">
      <c r="A85" t="s">
        <v>87</v>
      </c>
      <c r="B85" t="s">
        <v>336</v>
      </c>
      <c r="C85" t="s">
        <v>10</v>
      </c>
      <c r="D85" t="s">
        <v>89</v>
      </c>
      <c r="E85" t="s">
        <v>353</v>
      </c>
      <c r="F85" t="s">
        <v>354</v>
      </c>
      <c r="G85">
        <v>9.5</v>
      </c>
      <c r="H85">
        <v>9.5</v>
      </c>
      <c r="I85">
        <v>9.5</v>
      </c>
      <c r="K85" t="s">
        <v>17</v>
      </c>
      <c r="N85" s="132">
        <f>_xlfn.XLOOKUP(Baukon_alle_A4_join[[#This Row],[Transport.Transport-Modus]],LeitRess_Materialien[Name],LeitRess_Materialien[RMI '[kg Primärrohstoffe / kg']])*Baukon_alle_A4_join[[#This Row],[Transportdistanz.Voreinstellung]]*Baukon_alle_A4_join[[#This Row],[Masse '[kg/m²'] Referenz]]</f>
        <v>0</v>
      </c>
      <c r="O85" s="132">
        <f>_xlfn.XLOOKUP(Baukon_alle_A4_join[[#This Row],[Transport.Transport-Modus]],LeitRess_Materialien[Name],LeitRess_Materialien[RMI '[kg Primärrohstoffe / kg']])*Baukon_alle_A4_join[[#This Row],[Transportdistanz.Voreinstellung]]*Baukon_alle_A4_join[[#This Row],[Masse '[kg/m²'] min]]</f>
        <v>0</v>
      </c>
      <c r="P85" s="132">
        <f>_xlfn.XLOOKUP(Baukon_alle_A4_join[[#This Row],[Transport.Transport-Modus]],LeitRess_Materialien[Name],LeitRess_Materialien[RMI '[kg Primärrohstoffe / kg']])*Baukon_alle_A4_join[[#This Row],[Transportdistanz.Voreinstellung]]*Baukon_alle_A4_join[[#This Row],[Masse '[kg/m²'] max]]</f>
        <v>0</v>
      </c>
      <c r="Q85" s="132">
        <f>_xlfn.XLOOKUP(Baukon_alle_A4_join[[#This Row],[Transport.Transport-Modus]],LeitRess_Materialien[Name],LeitRess_Materialien[TMR '[kg Gesamtmaterialaufwand/kg']])*Baukon_alle_A4_join[[#This Row],[Transportdistanz.Voreinstellung]]*Baukon_alle_A4_join[[#This Row],[Masse '[kg/m²'] Referenz]]</f>
        <v>0</v>
      </c>
      <c r="R85" s="132">
        <f>_xlfn.XLOOKUP(Baukon_alle_A4_join[[#This Row],[Transport.Transport-Modus]],LeitRess_Materialien[Name],LeitRess_Materialien[TMR '[kg Gesamtmaterialaufwand/kg']])*Baukon_alle_A4_join[[#This Row],[Transportdistanz.Voreinstellung]]*Baukon_alle_A4_join[[#This Row],[Masse '[kg/m²'] min]]</f>
        <v>0</v>
      </c>
      <c r="S85" s="132">
        <f>_xlfn.XLOOKUP(Baukon_alle_A4_join[[#This Row],[Transport.Transport-Modus]],LeitRess_Materialien[Name],LeitRess_Materialien[TMR '[kg Gesamtmaterialaufwand/kg']])*Baukon_alle_A4_join[[#This Row],[Transportdistanz.Voreinstellung]]*Baukon_alle_A4_join[[#This Row],[Masse '[kg/m²'] max]]</f>
        <v>0</v>
      </c>
      <c r="T85" s="132">
        <f>_xlfn.XLOOKUP(Baukon_alle_A4_join[[#This Row],[Transport.Transport-Modus]],LeitRess_Materialien[Name],LeitRess_Materialien[GWP '[kg CO2-Äqu./kg']])*Baukon_alle_A4_join[[#This Row],[Transportdistanz.Voreinstellung]]*Baukon_alle_A4_join[[#This Row],[Masse '[kg/m²'] Referenz]]</f>
        <v>0</v>
      </c>
      <c r="U85" s="132">
        <f>_xlfn.XLOOKUP(Baukon_alle_A4_join[[#This Row],[Transport.Transport-Modus]],LeitRess_Materialien[Name],LeitRess_Materialien[GWP '[kg CO2-Äqu./kg']])*Baukon_alle_A4_join[[#This Row],[Transportdistanz.Voreinstellung]]*Baukon_alle_A4_join[[#This Row],[Masse '[kg/m²'] min]]</f>
        <v>0</v>
      </c>
      <c r="V85" s="132">
        <f>_xlfn.XLOOKUP(Baukon_alle_A4_join[[#This Row],[Transport.Transport-Modus]],LeitRess_Materialien[Name],LeitRess_Materialien[GWP '[kg CO2-Äqu./kg']])*Baukon_alle_A4_join[[#This Row],[Transportdistanz.Voreinstellung]]*Baukon_alle_A4_join[[#This Row],[Masse '[kg/m²'] max]]</f>
        <v>0</v>
      </c>
      <c r="W85" s="132">
        <f>_xlfn.XLOOKUP(Baukon_alle_A4_join[[#This Row],[Transport.Transport-Modus]],LeitRess_Materialien[Name],LeitRess_Materialien[PENRT '[MJ/kg']])*Baukon_alle_A4_join[[#This Row],[Transportdistanz.Voreinstellung]]*Baukon_alle_A4_join[[#This Row],[Masse '[kg/m²'] Referenz]]</f>
        <v>0</v>
      </c>
      <c r="X85" s="132">
        <f>_xlfn.XLOOKUP(Baukon_alle_A4_join[[#This Row],[Transport.Transport-Modus]],LeitRess_Materialien[Name],LeitRess_Materialien[PENRT '[MJ/kg']])*Baukon_alle_A4_join[[#This Row],[Transportdistanz.Voreinstellung]]*Baukon_alle_A4_join[[#This Row],[Masse '[kg/m²'] min]]</f>
        <v>0</v>
      </c>
      <c r="Y85" s="132">
        <f>_xlfn.XLOOKUP(Baukon_alle_A4_join[[#This Row],[Transport.Transport-Modus]],LeitRess_Materialien[Name],LeitRess_Materialien[PENRT '[MJ/kg']])*Baukon_alle_A4_join[[#This Row],[Transportdistanz.Voreinstellung]]*Baukon_alle_A4_join[[#This Row],[Masse '[kg/m²'] max]]</f>
        <v>0</v>
      </c>
      <c r="Z85" s="132">
        <f>_xlfn.XLOOKUP(Baukon_alle_A4_join[[#This Row],[Transport.Transport-Modus]],LeitRess_Materialien[Name],LeitRess_Materialien[WDP '[m³ weighted water/kg']])*Baukon_alle_A4_join[[#This Row],[Transportdistanz.Voreinstellung]]*Baukon_alle_A4_join[[#This Row],[Masse '[kg/m²'] Referenz]]</f>
        <v>0</v>
      </c>
      <c r="AA85" s="132">
        <f>_xlfn.XLOOKUP(Baukon_alle_A4_join[[#This Row],[Transport.Transport-Modus]],LeitRess_Materialien[Name],LeitRess_Materialien[WDP '[m³ weighted water/kg']])*Baukon_alle_A4_join[[#This Row],[Transportdistanz.Voreinstellung]]*Baukon_alle_A4_join[[#This Row],[Masse '[kg/m²'] min]]</f>
        <v>0</v>
      </c>
      <c r="AB85" s="132">
        <f>_xlfn.XLOOKUP(Baukon_alle_A4_join[[#This Row],[Transport.Transport-Modus]],LeitRess_Materialien[Name],LeitRess_Materialien[WDP '[m³ weighted water/kg']])*Baukon_alle_A4_join[[#This Row],[Transportdistanz.Voreinstellung]]*Baukon_alle_A4_join[[#This Row],[Masse '[kg/m²'] max]]</f>
        <v>0</v>
      </c>
      <c r="AC85"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0</v>
      </c>
      <c r="AD85"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0</v>
      </c>
      <c r="AE85"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0</v>
      </c>
    </row>
    <row r="86" spans="1:31" x14ac:dyDescent="0.45">
      <c r="A86" t="s">
        <v>87</v>
      </c>
      <c r="B86" t="s">
        <v>222</v>
      </c>
      <c r="C86" t="s">
        <v>230</v>
      </c>
      <c r="D86" t="s">
        <v>109</v>
      </c>
      <c r="F86" t="s">
        <v>231</v>
      </c>
      <c r="G86">
        <v>720</v>
      </c>
      <c r="H86">
        <v>720</v>
      </c>
      <c r="I86">
        <v>720</v>
      </c>
      <c r="J86" t="s">
        <v>225</v>
      </c>
      <c r="K86" t="s">
        <v>17</v>
      </c>
      <c r="L86" t="s">
        <v>352</v>
      </c>
      <c r="M86" t="s">
        <v>253</v>
      </c>
      <c r="N86" s="132">
        <f>_xlfn.XLOOKUP(Baukon_alle_A4_join[[#This Row],[Transport.Transport-Modus]],LeitRess_Materialien[Name],LeitRess_Materialien[RMI '[kg Primärrohstoffe / kg']])*Baukon_alle_A4_join[[#This Row],[Transportdistanz.Voreinstellung]]*Baukon_alle_A4_join[[#This Row],[Masse '[kg/m²'] Referenz]]</f>
        <v>12.56315623405993</v>
      </c>
      <c r="O86" s="132">
        <f>_xlfn.XLOOKUP(Baukon_alle_A4_join[[#This Row],[Transport.Transport-Modus]],LeitRess_Materialien[Name],LeitRess_Materialien[RMI '[kg Primärrohstoffe / kg']])*Baukon_alle_A4_join[[#This Row],[Transportdistanz.Voreinstellung]]*Baukon_alle_A4_join[[#This Row],[Masse '[kg/m²'] min]]</f>
        <v>12.56315623405993</v>
      </c>
      <c r="P86" s="132">
        <f>_xlfn.XLOOKUP(Baukon_alle_A4_join[[#This Row],[Transport.Transport-Modus]],LeitRess_Materialien[Name],LeitRess_Materialien[RMI '[kg Primärrohstoffe / kg']])*Baukon_alle_A4_join[[#This Row],[Transportdistanz.Voreinstellung]]*Baukon_alle_A4_join[[#This Row],[Masse '[kg/m²'] max]]</f>
        <v>12.56315623405993</v>
      </c>
      <c r="Q86" s="132">
        <f>_xlfn.XLOOKUP(Baukon_alle_A4_join[[#This Row],[Transport.Transport-Modus]],LeitRess_Materialien[Name],LeitRess_Materialien[TMR '[kg Gesamtmaterialaufwand/kg']])*Baukon_alle_A4_join[[#This Row],[Transportdistanz.Voreinstellung]]*Baukon_alle_A4_join[[#This Row],[Masse '[kg/m²'] Referenz]]</f>
        <v>14.973358815304488</v>
      </c>
      <c r="R86" s="132">
        <f>_xlfn.XLOOKUP(Baukon_alle_A4_join[[#This Row],[Transport.Transport-Modus]],LeitRess_Materialien[Name],LeitRess_Materialien[TMR '[kg Gesamtmaterialaufwand/kg']])*Baukon_alle_A4_join[[#This Row],[Transportdistanz.Voreinstellung]]*Baukon_alle_A4_join[[#This Row],[Masse '[kg/m²'] min]]</f>
        <v>14.973358815304488</v>
      </c>
      <c r="S86" s="132">
        <f>_xlfn.XLOOKUP(Baukon_alle_A4_join[[#This Row],[Transport.Transport-Modus]],LeitRess_Materialien[Name],LeitRess_Materialien[TMR '[kg Gesamtmaterialaufwand/kg']])*Baukon_alle_A4_join[[#This Row],[Transportdistanz.Voreinstellung]]*Baukon_alle_A4_join[[#This Row],[Masse '[kg/m²'] max]]</f>
        <v>14.973358815304488</v>
      </c>
      <c r="T86" s="132">
        <f>_xlfn.XLOOKUP(Baukon_alle_A4_join[[#This Row],[Transport.Transport-Modus]],LeitRess_Materialien[Name],LeitRess_Materialien[GWP '[kg CO2-Äqu./kg']])*Baukon_alle_A4_join[[#This Row],[Transportdistanz.Voreinstellung]]*Baukon_alle_A4_join[[#This Row],[Masse '[kg/m²'] Referenz]]</f>
        <v>13.937909618243879</v>
      </c>
      <c r="U86" s="132">
        <f>_xlfn.XLOOKUP(Baukon_alle_A4_join[[#This Row],[Transport.Transport-Modus]],LeitRess_Materialien[Name],LeitRess_Materialien[GWP '[kg CO2-Äqu./kg']])*Baukon_alle_A4_join[[#This Row],[Transportdistanz.Voreinstellung]]*Baukon_alle_A4_join[[#This Row],[Masse '[kg/m²'] min]]</f>
        <v>13.937909618243879</v>
      </c>
      <c r="V86" s="132">
        <f>_xlfn.XLOOKUP(Baukon_alle_A4_join[[#This Row],[Transport.Transport-Modus]],LeitRess_Materialien[Name],LeitRess_Materialien[GWP '[kg CO2-Äqu./kg']])*Baukon_alle_A4_join[[#This Row],[Transportdistanz.Voreinstellung]]*Baukon_alle_A4_join[[#This Row],[Masse '[kg/m²'] max]]</f>
        <v>13.937909618243879</v>
      </c>
      <c r="W86" s="132">
        <f>_xlfn.XLOOKUP(Baukon_alle_A4_join[[#This Row],[Transport.Transport-Modus]],LeitRess_Materialien[Name],LeitRess_Materialien[PENRT '[MJ/kg']])*Baukon_alle_A4_join[[#This Row],[Transportdistanz.Voreinstellung]]*Baukon_alle_A4_join[[#This Row],[Masse '[kg/m²'] Referenz]]</f>
        <v>86.961953375999997</v>
      </c>
      <c r="X86" s="132">
        <f>_xlfn.XLOOKUP(Baukon_alle_A4_join[[#This Row],[Transport.Transport-Modus]],LeitRess_Materialien[Name],LeitRess_Materialien[PENRT '[MJ/kg']])*Baukon_alle_A4_join[[#This Row],[Transportdistanz.Voreinstellung]]*Baukon_alle_A4_join[[#This Row],[Masse '[kg/m²'] min]]</f>
        <v>86.961953375999997</v>
      </c>
      <c r="Y86" s="132">
        <f>_xlfn.XLOOKUP(Baukon_alle_A4_join[[#This Row],[Transport.Transport-Modus]],LeitRess_Materialien[Name],LeitRess_Materialien[PENRT '[MJ/kg']])*Baukon_alle_A4_join[[#This Row],[Transportdistanz.Voreinstellung]]*Baukon_alle_A4_join[[#This Row],[Masse '[kg/m²'] max]]</f>
        <v>86.961953375999997</v>
      </c>
      <c r="Z86" s="132">
        <f>_xlfn.XLOOKUP(Baukon_alle_A4_join[[#This Row],[Transport.Transport-Modus]],LeitRess_Materialien[Name],LeitRess_Materialien[WDP '[m³ weighted water/kg']])*Baukon_alle_A4_join[[#This Row],[Transportdistanz.Voreinstellung]]*Baukon_alle_A4_join[[#This Row],[Masse '[kg/m²'] Referenz]]</f>
        <v>0.94574715084082073</v>
      </c>
      <c r="AA86" s="132">
        <f>_xlfn.XLOOKUP(Baukon_alle_A4_join[[#This Row],[Transport.Transport-Modus]],LeitRess_Materialien[Name],LeitRess_Materialien[WDP '[m³ weighted water/kg']])*Baukon_alle_A4_join[[#This Row],[Transportdistanz.Voreinstellung]]*Baukon_alle_A4_join[[#This Row],[Masse '[kg/m²'] min]]</f>
        <v>0.94574715084082073</v>
      </c>
      <c r="AB86" s="132">
        <f>_xlfn.XLOOKUP(Baukon_alle_A4_join[[#This Row],[Transport.Transport-Modus]],LeitRess_Materialien[Name],LeitRess_Materialien[WDP '[m³ weighted water/kg']])*Baukon_alle_A4_join[[#This Row],[Transportdistanz.Voreinstellung]]*Baukon_alle_A4_join[[#This Row],[Masse '[kg/m²'] max]]</f>
        <v>0.94574715084082073</v>
      </c>
      <c r="AC86"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2.3156866349857644E-3</v>
      </c>
      <c r="AD86"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2.3156866349857644E-3</v>
      </c>
      <c r="AE86"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2.3156866349857644E-3</v>
      </c>
    </row>
    <row r="87" spans="1:31" x14ac:dyDescent="0.45">
      <c r="A87" t="s">
        <v>120</v>
      </c>
      <c r="B87" t="s">
        <v>232</v>
      </c>
      <c r="C87" t="s">
        <v>235</v>
      </c>
      <c r="D87" t="s">
        <v>122</v>
      </c>
      <c r="F87" t="s">
        <v>236</v>
      </c>
      <c r="G87">
        <v>37.5</v>
      </c>
      <c r="H87">
        <v>37.5</v>
      </c>
      <c r="I87">
        <v>37.5</v>
      </c>
      <c r="J87" t="s">
        <v>225</v>
      </c>
      <c r="K87" t="s">
        <v>17</v>
      </c>
      <c r="L87" t="s">
        <v>355</v>
      </c>
      <c r="M87" t="s">
        <v>253</v>
      </c>
      <c r="N87" s="132">
        <f>_xlfn.XLOOKUP(Baukon_alle_A4_join[[#This Row],[Transport.Transport-Modus]],LeitRess_Materialien[Name],LeitRess_Materialien[RMI '[kg Primärrohstoffe / kg']])*Baukon_alle_A4_join[[#This Row],[Transportdistanz.Voreinstellung]]*Baukon_alle_A4_join[[#This Row],[Masse '[kg/m²'] Referenz]]</f>
        <v>1.3086621077145761</v>
      </c>
      <c r="O87" s="132">
        <f>_xlfn.XLOOKUP(Baukon_alle_A4_join[[#This Row],[Transport.Transport-Modus]],LeitRess_Materialien[Name],LeitRess_Materialien[RMI '[kg Primärrohstoffe / kg']])*Baukon_alle_A4_join[[#This Row],[Transportdistanz.Voreinstellung]]*Baukon_alle_A4_join[[#This Row],[Masse '[kg/m²'] min]]</f>
        <v>1.3086621077145761</v>
      </c>
      <c r="P87" s="132">
        <f>_xlfn.XLOOKUP(Baukon_alle_A4_join[[#This Row],[Transport.Transport-Modus]],LeitRess_Materialien[Name],LeitRess_Materialien[RMI '[kg Primärrohstoffe / kg']])*Baukon_alle_A4_join[[#This Row],[Transportdistanz.Voreinstellung]]*Baukon_alle_A4_join[[#This Row],[Masse '[kg/m²'] max]]</f>
        <v>1.3086621077145761</v>
      </c>
      <c r="Q87" s="132">
        <f>_xlfn.XLOOKUP(Baukon_alle_A4_join[[#This Row],[Transport.Transport-Modus]],LeitRess_Materialien[Name],LeitRess_Materialien[TMR '[kg Gesamtmaterialaufwand/kg']])*Baukon_alle_A4_join[[#This Row],[Transportdistanz.Voreinstellung]]*Baukon_alle_A4_join[[#This Row],[Masse '[kg/m²'] Referenz]]</f>
        <v>1.5597248765942175</v>
      </c>
      <c r="R87" s="132">
        <f>_xlfn.XLOOKUP(Baukon_alle_A4_join[[#This Row],[Transport.Transport-Modus]],LeitRess_Materialien[Name],LeitRess_Materialien[TMR '[kg Gesamtmaterialaufwand/kg']])*Baukon_alle_A4_join[[#This Row],[Transportdistanz.Voreinstellung]]*Baukon_alle_A4_join[[#This Row],[Masse '[kg/m²'] min]]</f>
        <v>1.5597248765942175</v>
      </c>
      <c r="S87" s="132">
        <f>_xlfn.XLOOKUP(Baukon_alle_A4_join[[#This Row],[Transport.Transport-Modus]],LeitRess_Materialien[Name],LeitRess_Materialien[TMR '[kg Gesamtmaterialaufwand/kg']])*Baukon_alle_A4_join[[#This Row],[Transportdistanz.Voreinstellung]]*Baukon_alle_A4_join[[#This Row],[Masse '[kg/m²'] max]]</f>
        <v>1.5597248765942175</v>
      </c>
      <c r="T87" s="132">
        <f>_xlfn.XLOOKUP(Baukon_alle_A4_join[[#This Row],[Transport.Transport-Modus]],LeitRess_Materialien[Name],LeitRess_Materialien[GWP '[kg CO2-Äqu./kg']])*Baukon_alle_A4_join[[#This Row],[Transportdistanz.Voreinstellung]]*Baukon_alle_A4_join[[#This Row],[Masse '[kg/m²'] Referenz]]</f>
        <v>1.4518655852337374</v>
      </c>
      <c r="U87" s="132">
        <f>_xlfn.XLOOKUP(Baukon_alle_A4_join[[#This Row],[Transport.Transport-Modus]],LeitRess_Materialien[Name],LeitRess_Materialien[GWP '[kg CO2-Äqu./kg']])*Baukon_alle_A4_join[[#This Row],[Transportdistanz.Voreinstellung]]*Baukon_alle_A4_join[[#This Row],[Masse '[kg/m²'] min]]</f>
        <v>1.4518655852337374</v>
      </c>
      <c r="V87" s="132">
        <f>_xlfn.XLOOKUP(Baukon_alle_A4_join[[#This Row],[Transport.Transport-Modus]],LeitRess_Materialien[Name],LeitRess_Materialien[GWP '[kg CO2-Äqu./kg']])*Baukon_alle_A4_join[[#This Row],[Transportdistanz.Voreinstellung]]*Baukon_alle_A4_join[[#This Row],[Masse '[kg/m²'] max]]</f>
        <v>1.4518655852337374</v>
      </c>
      <c r="W87" s="132">
        <f>_xlfn.XLOOKUP(Baukon_alle_A4_join[[#This Row],[Transport.Transport-Modus]],LeitRess_Materialien[Name],LeitRess_Materialien[PENRT '[MJ/kg']])*Baukon_alle_A4_join[[#This Row],[Transportdistanz.Voreinstellung]]*Baukon_alle_A4_join[[#This Row],[Masse '[kg/m²'] Referenz]]</f>
        <v>9.0585368099999997</v>
      </c>
      <c r="X87" s="132">
        <f>_xlfn.XLOOKUP(Baukon_alle_A4_join[[#This Row],[Transport.Transport-Modus]],LeitRess_Materialien[Name],LeitRess_Materialien[PENRT '[MJ/kg']])*Baukon_alle_A4_join[[#This Row],[Transportdistanz.Voreinstellung]]*Baukon_alle_A4_join[[#This Row],[Masse '[kg/m²'] min]]</f>
        <v>9.0585368099999997</v>
      </c>
      <c r="Y87" s="132">
        <f>_xlfn.XLOOKUP(Baukon_alle_A4_join[[#This Row],[Transport.Transport-Modus]],LeitRess_Materialien[Name],LeitRess_Materialien[PENRT '[MJ/kg']])*Baukon_alle_A4_join[[#This Row],[Transportdistanz.Voreinstellung]]*Baukon_alle_A4_join[[#This Row],[Masse '[kg/m²'] max]]</f>
        <v>9.0585368099999997</v>
      </c>
      <c r="Z87" s="132">
        <f>_xlfn.XLOOKUP(Baukon_alle_A4_join[[#This Row],[Transport.Transport-Modus]],LeitRess_Materialien[Name],LeitRess_Materialien[WDP '[m³ weighted water/kg']])*Baukon_alle_A4_join[[#This Row],[Transportdistanz.Voreinstellung]]*Baukon_alle_A4_join[[#This Row],[Masse '[kg/m²'] Referenz]]</f>
        <v>9.851532821258549E-2</v>
      </c>
      <c r="AA87" s="132">
        <f>_xlfn.XLOOKUP(Baukon_alle_A4_join[[#This Row],[Transport.Transport-Modus]],LeitRess_Materialien[Name],LeitRess_Materialien[WDP '[m³ weighted water/kg']])*Baukon_alle_A4_join[[#This Row],[Transportdistanz.Voreinstellung]]*Baukon_alle_A4_join[[#This Row],[Masse '[kg/m²'] min]]</f>
        <v>9.851532821258549E-2</v>
      </c>
      <c r="AB87" s="132">
        <f>_xlfn.XLOOKUP(Baukon_alle_A4_join[[#This Row],[Transport.Transport-Modus]],LeitRess_Materialien[Name],LeitRess_Materialien[WDP '[m³ weighted water/kg']])*Baukon_alle_A4_join[[#This Row],[Transportdistanz.Voreinstellung]]*Baukon_alle_A4_join[[#This Row],[Masse '[kg/m²'] max]]</f>
        <v>9.851532821258549E-2</v>
      </c>
      <c r="AC87" s="132">
        <f>Baukon_alle_A4_join[[#This Row],[GWP '[kg CO2-Äqu./m²'] Referenz]]/_xlfn.XLOOKUP("GWP",decision_making_process[Indikator],decision_making_process[Referenzwert])+Baukon_alle_A4_join[[#This Row],[PENRT '[MJ/m²'] Referenz]]/_xlfn.XLOOKUP("PENRT",decision_making_process[Indikator],decision_making_process[Referenzwert])+Baukon_alle_A4_join[[#This Row],[RMI '[kg Primärrohstoffe/m²'] Referenz]]/_xlfn.XLOOKUP("RMI",decision_making_process[Indikator],decision_making_process[Referenzwert])+Baukon_alle_A4_join[[#This Row],[WDP '[m² weighted water/m²'] Referenz]]/_xlfn.XLOOKUP("WDP",decision_making_process[Indikator],decision_making_process[Referenzwert])</f>
        <v>2.412173578110172E-4</v>
      </c>
      <c r="AD87" s="132">
        <f>Baukon_alle_A4_join[[#This Row],[GWP '[kg CO2-Äqu./m²'] min]]/_xlfn.XLOOKUP("GWP",decision_making_process[Indikator],decision_making_process[Referenzwert])+Baukon_alle_A4_join[[#This Row],[PENRT '[MJ/m²'] min]]/_xlfn.XLOOKUP("PENRT",decision_making_process[Indikator],decision_making_process[Referenzwert])+Baukon_alle_A4_join[[#This Row],[RMI '[kg Primärrohstoffe/m²'] min]]/_xlfn.XLOOKUP("RMI",decision_making_process[Indikator],decision_making_process[Referenzwert])+Baukon_alle_A4_join[[#This Row],[WDP '[m² weighted water/m²'] min]]/_xlfn.XLOOKUP("WDP",decision_making_process[Indikator],decision_making_process[Referenzwert])</f>
        <v>2.412173578110172E-4</v>
      </c>
      <c r="AE87" s="132">
        <f>Baukon_alle_A4_join[[#This Row],[GWP '[kg CO2-Äqu./m²'] max]]/_xlfn.XLOOKUP("GWP",decision_making_process[Indikator],decision_making_process[Referenzwert])+Baukon_alle_A4_join[[#This Row],[PENRT '[MJ/m²'] max]]/_xlfn.XLOOKUP("PENRT",decision_making_process[Indikator],decision_making_process[Referenzwert])+Baukon_alle_A4_join[[#This Row],[RMI '[kg Primärrohstoffe/m²'] max]]/_xlfn.XLOOKUP("RMI",decision_making_process[Indikator],decision_making_process[Referenzwert])+Baukon_alle_A4_join[[#This Row],[WDP '[m² weighted water/m²'] max]]/_xlfn.XLOOKUP("WDP",decision_making_process[Indikator],decision_making_process[Referenzwert])</f>
        <v>2.412173578110172E-4</v>
      </c>
    </row>
  </sheetData>
  <phoneticPr fontId="9" type="noConversion"/>
  <pageMargins left="0.7" right="0.7" top="0.78740157499999996" bottom="0.78740157499999996" header="0.3" footer="0.3"/>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02D359-E672-4BC9-936A-A59B8AB6EC39}">
  <sheetPr codeName="Tabelle6"/>
  <dimension ref="A1:BC87"/>
  <sheetViews>
    <sheetView topLeftCell="A2" zoomScale="55" zoomScaleNormal="55" workbookViewId="0">
      <selection sqref="A1:BB77"/>
    </sheetView>
  </sheetViews>
  <sheetFormatPr baseColWidth="10" defaultColWidth="11.46484375" defaultRowHeight="14.25" x14ac:dyDescent="0.45"/>
  <cols>
    <col min="1" max="1" width="22.1328125" bestFit="1" customWidth="1"/>
    <col min="2" max="2" width="55.46484375" bestFit="1" customWidth="1"/>
    <col min="3" max="3" width="20.86328125" bestFit="1" customWidth="1"/>
    <col min="4" max="4" width="18.1328125" bestFit="1" customWidth="1"/>
    <col min="5" max="5" width="72.33203125" bestFit="1" customWidth="1"/>
    <col min="6" max="6" width="35.46484375" bestFit="1" customWidth="1"/>
    <col min="7" max="7" width="52.33203125" bestFit="1" customWidth="1"/>
    <col min="8" max="8" width="27.6640625" bestFit="1" customWidth="1"/>
    <col min="9" max="9" width="24.6640625" bestFit="1" customWidth="1"/>
    <col min="10" max="10" width="18.33203125" bestFit="1" customWidth="1"/>
    <col min="11" max="11" width="18.86328125" bestFit="1" customWidth="1"/>
    <col min="12" max="12" width="21.33203125" bestFit="1" customWidth="1"/>
    <col min="13" max="13" width="12.6640625" bestFit="1" customWidth="1"/>
    <col min="14" max="14" width="30.6640625" bestFit="1" customWidth="1"/>
    <col min="15" max="15" width="24.1328125" bestFit="1" customWidth="1"/>
    <col min="16" max="16" width="24.6640625" bestFit="1" customWidth="1"/>
    <col min="17" max="17" width="28" bestFit="1" customWidth="1"/>
    <col min="18" max="18" width="21.53125" bestFit="1" customWidth="1"/>
    <col min="19" max="19" width="22.1328125" bestFit="1" customWidth="1"/>
    <col min="20" max="20" width="34.86328125" bestFit="1" customWidth="1"/>
    <col min="21" max="21" width="45.1328125" bestFit="1" customWidth="1"/>
    <col min="22" max="22" width="21.53125" bestFit="1" customWidth="1"/>
    <col min="23" max="23" width="28" bestFit="1" customWidth="1"/>
    <col min="24" max="24" width="26.53125" bestFit="1" customWidth="1"/>
    <col min="25" max="25" width="19.1328125" bestFit="1" customWidth="1"/>
    <col min="26" max="26" width="23.33203125" bestFit="1" customWidth="1"/>
    <col min="27" max="27" width="43.1328125" bestFit="1" customWidth="1"/>
    <col min="28" max="28" width="36.6640625" bestFit="1" customWidth="1"/>
    <col min="29" max="29" width="37.33203125" bestFit="1" customWidth="1"/>
    <col min="30" max="30" width="54" bestFit="1" customWidth="1"/>
    <col min="31" max="31" width="47.53125" bestFit="1" customWidth="1"/>
    <col min="32" max="32" width="48.33203125" bestFit="1" customWidth="1"/>
    <col min="33" max="33" width="38.6640625" bestFit="1" customWidth="1"/>
    <col min="34" max="34" width="32" bestFit="1" customWidth="1"/>
    <col min="35" max="35" width="32.86328125" bestFit="1" customWidth="1"/>
    <col min="36" max="36" width="29" bestFit="1" customWidth="1"/>
    <col min="37" max="37" width="22.53125" bestFit="1" customWidth="1"/>
    <col min="38" max="38" width="23.1328125" bestFit="1" customWidth="1"/>
    <col min="39" max="39" width="27.33203125" bestFit="1" customWidth="1"/>
    <col min="40" max="40" width="20.86328125" bestFit="1" customWidth="1"/>
    <col min="41" max="41" width="21.53125" bestFit="1" customWidth="1"/>
    <col min="42" max="42" width="44" bestFit="1" customWidth="1"/>
    <col min="43" max="43" width="37.46484375" bestFit="1" customWidth="1"/>
    <col min="44" max="44" width="38.1328125" bestFit="1" customWidth="1"/>
    <col min="45" max="45" width="30" bestFit="1" customWidth="1"/>
    <col min="46" max="46" width="23.53125" bestFit="1" customWidth="1"/>
    <col min="47" max="47" width="24.1328125" bestFit="1" customWidth="1"/>
    <col min="48" max="48" width="33.46484375" bestFit="1" customWidth="1"/>
    <col min="49" max="49" width="17.86328125" bestFit="1" customWidth="1"/>
    <col min="50" max="50" width="16.1328125" bestFit="1" customWidth="1"/>
    <col min="51" max="51" width="32.46484375" bestFit="1" customWidth="1"/>
    <col min="52" max="52" width="38.86328125" bestFit="1" customWidth="1"/>
    <col min="53" max="53" width="37.33203125" bestFit="1" customWidth="1"/>
    <col min="54" max="54" width="30" bestFit="1" customWidth="1"/>
    <col min="55" max="55" width="8.46484375" bestFit="1" customWidth="1"/>
    <col min="56" max="56" width="9.6640625" customWidth="1"/>
    <col min="57" max="57" width="34.6640625" bestFit="1" customWidth="1"/>
    <col min="58" max="58" width="35.46484375" bestFit="1" customWidth="1"/>
    <col min="59" max="59" width="9.6640625" customWidth="1"/>
    <col min="60" max="60" width="9.46484375" bestFit="1" customWidth="1"/>
    <col min="61" max="61" width="42.46484375" bestFit="1" customWidth="1"/>
    <col min="62" max="62" width="48.53125" bestFit="1" customWidth="1"/>
    <col min="63" max="63" width="46.53125" bestFit="1" customWidth="1"/>
    <col min="64" max="65" width="40" bestFit="1" customWidth="1"/>
    <col min="66" max="66" width="34.46484375" bestFit="1" customWidth="1"/>
    <col min="67" max="67" width="42.46484375" bestFit="1" customWidth="1"/>
    <col min="68" max="68" width="48.53125" customWidth="1"/>
    <col min="69" max="69" width="46.53125" bestFit="1" customWidth="1"/>
    <col min="70" max="70" width="40" bestFit="1" customWidth="1"/>
    <col min="71" max="71" width="46.53125" bestFit="1" customWidth="1"/>
    <col min="72" max="72" width="40" bestFit="1" customWidth="1"/>
    <col min="73" max="73" width="46.46484375" bestFit="1" customWidth="1"/>
    <col min="74" max="74" width="38.46484375" bestFit="1" customWidth="1"/>
    <col min="75" max="75" width="39.53125" bestFit="1" customWidth="1"/>
    <col min="76" max="76" width="38.46484375" bestFit="1" customWidth="1"/>
    <col min="77" max="77" width="40.46484375" bestFit="1" customWidth="1"/>
    <col min="78" max="78" width="32.46484375" bestFit="1" customWidth="1"/>
    <col min="79" max="79" width="24.1328125" bestFit="1" customWidth="1"/>
    <col min="80" max="80" width="25.53125" bestFit="1" customWidth="1"/>
    <col min="81" max="81" width="24.46484375" bestFit="1" customWidth="1"/>
    <col min="82" max="82" width="26.1328125" bestFit="1" customWidth="1"/>
    <col min="83" max="83" width="21.53125" bestFit="1" customWidth="1"/>
    <col min="84" max="84" width="34" bestFit="1" customWidth="1"/>
    <col min="85" max="85" width="34.46484375" bestFit="1" customWidth="1"/>
    <col min="86" max="86" width="42.46484375" bestFit="1" customWidth="1"/>
    <col min="87" max="87" width="48.53125" bestFit="1" customWidth="1"/>
    <col min="88" max="88" width="46.53125" bestFit="1" customWidth="1"/>
    <col min="89" max="89" width="40" bestFit="1" customWidth="1"/>
    <col min="90" max="90" width="23" bestFit="1" customWidth="1"/>
    <col min="91" max="91" width="23.53125" bestFit="1" customWidth="1"/>
    <col min="92" max="92" width="42.46484375" bestFit="1" customWidth="1"/>
    <col min="93" max="93" width="48.53125" bestFit="1" customWidth="1"/>
    <col min="94" max="94" width="46.53125" bestFit="1" customWidth="1"/>
    <col min="95" max="96" width="40" bestFit="1" customWidth="1"/>
    <col min="97" max="97" width="40.53125" bestFit="1" customWidth="1"/>
    <col min="98" max="98" width="49.86328125" bestFit="1" customWidth="1"/>
    <col min="99" max="99" width="50.46484375" bestFit="1" customWidth="1"/>
    <col min="100" max="100" width="33.53125" bestFit="1" customWidth="1"/>
    <col min="101" max="101" width="34.46484375" bestFit="1" customWidth="1"/>
    <col min="102" max="102" width="24.53125" bestFit="1" customWidth="1"/>
    <col min="103" max="103" width="25.1328125" bestFit="1" customWidth="1"/>
    <col min="104" max="104" width="22.86328125" bestFit="1" customWidth="1"/>
    <col min="105" max="105" width="23.46484375" bestFit="1" customWidth="1"/>
    <col min="106" max="106" width="39.53125" bestFit="1" customWidth="1"/>
    <col min="107" max="107" width="40.46484375" bestFit="1" customWidth="1"/>
    <col min="108" max="108" width="25.53125" bestFit="1" customWidth="1"/>
    <col min="109" max="109" width="26.1328125" bestFit="1" customWidth="1"/>
    <col min="110" max="110" width="28.86328125" bestFit="1" customWidth="1"/>
    <col min="111" max="111" width="29.46484375" bestFit="1" customWidth="1"/>
    <col min="112" max="112" width="42.46484375" bestFit="1" customWidth="1"/>
    <col min="113" max="113" width="48.53125" bestFit="1" customWidth="1"/>
    <col min="114" max="114" width="46.53125" bestFit="1" customWidth="1"/>
    <col min="115" max="115" width="40" customWidth="1"/>
    <col min="116" max="116" width="45.53125" bestFit="1" customWidth="1"/>
    <col min="117" max="117" width="46.46484375" bestFit="1" customWidth="1"/>
    <col min="118" max="118" width="55.53125" bestFit="1" customWidth="1"/>
    <col min="119" max="119" width="56.46484375" bestFit="1" customWidth="1"/>
    <col min="120" max="120" width="39.53125" bestFit="1" customWidth="1"/>
    <col min="121" max="121" width="40" customWidth="1"/>
    <col min="122" max="122" width="30.46484375" bestFit="1" customWidth="1"/>
    <col min="123" max="123" width="31" bestFit="1" customWidth="1"/>
    <col min="124" max="124" width="28.53125" bestFit="1" customWidth="1"/>
    <col min="125" max="125" width="29.1328125" bestFit="1" customWidth="1"/>
    <col min="126" max="126" width="45.53125" bestFit="1" customWidth="1"/>
    <col min="127" max="127" width="46.1328125" bestFit="1" customWidth="1"/>
    <col min="128" max="128" width="31.46484375" bestFit="1" customWidth="1"/>
    <col min="129" max="129" width="31.86328125" bestFit="1" customWidth="1"/>
    <col min="130" max="130" width="55.1328125" bestFit="1" customWidth="1"/>
    <col min="131" max="131" width="53.46484375" bestFit="1" customWidth="1"/>
    <col min="132" max="132" width="54" bestFit="1" customWidth="1"/>
    <col min="133" max="133" width="30.1328125" bestFit="1" customWidth="1"/>
    <col min="134" max="134" width="19" bestFit="1" customWidth="1"/>
    <col min="135" max="135" width="43.86328125" bestFit="1" customWidth="1"/>
    <col min="136" max="136" width="43.53125" bestFit="1" customWidth="1"/>
    <col min="137" max="137" width="44" bestFit="1" customWidth="1"/>
    <col min="138" max="138" width="25.53125" bestFit="1" customWidth="1"/>
    <col min="139" max="139" width="17.53125" customWidth="1"/>
    <col min="140" max="140" width="34.46484375" bestFit="1" customWidth="1"/>
    <col min="141" max="141" width="41.53125" bestFit="1" customWidth="1"/>
    <col min="142" max="142" width="17.53125" bestFit="1" customWidth="1"/>
    <col min="143" max="143" width="41.46484375" bestFit="1" customWidth="1"/>
    <col min="144" max="144" width="41.1328125" bestFit="1" customWidth="1"/>
    <col min="145" max="145" width="41.53125" bestFit="1" customWidth="1"/>
  </cols>
  <sheetData>
    <row r="1" spans="1:55" x14ac:dyDescent="0.45">
      <c r="A1" t="s">
        <v>170</v>
      </c>
      <c r="B1" t="s">
        <v>171</v>
      </c>
      <c r="C1" t="s">
        <v>172</v>
      </c>
      <c r="D1" t="s">
        <v>173</v>
      </c>
      <c r="E1" t="s">
        <v>174</v>
      </c>
      <c r="F1" t="s">
        <v>176</v>
      </c>
      <c r="G1" t="s">
        <v>49</v>
      </c>
      <c r="H1" t="s">
        <v>356</v>
      </c>
      <c r="I1" t="s">
        <v>179</v>
      </c>
      <c r="J1" t="s">
        <v>180</v>
      </c>
      <c r="K1" t="s">
        <v>181</v>
      </c>
      <c r="L1" t="s">
        <v>182</v>
      </c>
      <c r="M1" t="s">
        <v>357</v>
      </c>
      <c r="N1" t="s">
        <v>184</v>
      </c>
      <c r="O1" t="s">
        <v>185</v>
      </c>
      <c r="P1" t="s">
        <v>186</v>
      </c>
      <c r="Q1" t="s">
        <v>197</v>
      </c>
      <c r="R1" t="s">
        <v>198</v>
      </c>
      <c r="S1" t="s">
        <v>199</v>
      </c>
      <c r="T1" t="s">
        <v>187</v>
      </c>
      <c r="U1" t="s">
        <v>188</v>
      </c>
      <c r="V1" t="s">
        <v>189</v>
      </c>
      <c r="W1" t="s">
        <v>190</v>
      </c>
      <c r="X1" t="s">
        <v>191</v>
      </c>
      <c r="Y1" t="s">
        <v>192</v>
      </c>
      <c r="Z1" t="s">
        <v>200</v>
      </c>
      <c r="AA1" t="s">
        <v>201</v>
      </c>
      <c r="AB1" t="s">
        <v>202</v>
      </c>
      <c r="AC1" t="s">
        <v>203</v>
      </c>
      <c r="AD1" t="s">
        <v>204</v>
      </c>
      <c r="AE1" t="s">
        <v>205</v>
      </c>
      <c r="AF1" t="s">
        <v>206</v>
      </c>
      <c r="AG1" t="s">
        <v>207</v>
      </c>
      <c r="AH1" t="s">
        <v>208</v>
      </c>
      <c r="AI1" t="s">
        <v>209</v>
      </c>
      <c r="AJ1" t="s">
        <v>210</v>
      </c>
      <c r="AK1" t="s">
        <v>211</v>
      </c>
      <c r="AL1" t="s">
        <v>212</v>
      </c>
      <c r="AM1" t="s">
        <v>213</v>
      </c>
      <c r="AN1" t="s">
        <v>214</v>
      </c>
      <c r="AO1" t="s">
        <v>215</v>
      </c>
      <c r="AP1" t="s">
        <v>216</v>
      </c>
      <c r="AQ1" t="s">
        <v>217</v>
      </c>
      <c r="AR1" t="s">
        <v>218</v>
      </c>
      <c r="AS1" t="s">
        <v>219</v>
      </c>
      <c r="AT1" t="s">
        <v>220</v>
      </c>
      <c r="AU1" t="s">
        <v>221</v>
      </c>
      <c r="AV1" t="s">
        <v>175</v>
      </c>
      <c r="AW1" t="s">
        <v>178</v>
      </c>
      <c r="AX1" t="s">
        <v>183</v>
      </c>
      <c r="AY1" t="s">
        <v>358</v>
      </c>
      <c r="AZ1" t="s">
        <v>359</v>
      </c>
      <c r="BA1" t="s">
        <v>360</v>
      </c>
      <c r="BB1" t="s">
        <v>361</v>
      </c>
      <c r="BC1" t="s">
        <v>107</v>
      </c>
    </row>
    <row r="2" spans="1:55" x14ac:dyDescent="0.45">
      <c r="A2" t="s">
        <v>53</v>
      </c>
      <c r="B2" t="s">
        <v>302</v>
      </c>
      <c r="C2" t="s">
        <v>362</v>
      </c>
      <c r="D2" t="s">
        <v>303</v>
      </c>
      <c r="E2" t="s">
        <v>86</v>
      </c>
      <c r="F2" t="s">
        <v>304</v>
      </c>
      <c r="G2" t="s">
        <v>224</v>
      </c>
      <c r="H2" t="s">
        <v>225</v>
      </c>
      <c r="I2">
        <v>50</v>
      </c>
      <c r="J2">
        <v>50</v>
      </c>
      <c r="K2">
        <v>50</v>
      </c>
      <c r="L2">
        <v>1</v>
      </c>
      <c r="N2">
        <v>0.05</v>
      </c>
      <c r="O2">
        <v>0.05</v>
      </c>
      <c r="P2">
        <v>0.05</v>
      </c>
      <c r="Q2">
        <v>118</v>
      </c>
      <c r="R2">
        <v>118</v>
      </c>
      <c r="S2">
        <v>118</v>
      </c>
      <c r="T2" t="s">
        <v>226</v>
      </c>
      <c r="U2" t="s">
        <v>363</v>
      </c>
      <c r="V2" t="s">
        <v>364</v>
      </c>
      <c r="W2" t="s">
        <v>365</v>
      </c>
      <c r="X2" t="s">
        <v>365</v>
      </c>
      <c r="Y2">
        <v>1.4</v>
      </c>
      <c r="Z2">
        <v>35.714285714285715</v>
      </c>
      <c r="AA2">
        <v>117.7747076304871</v>
      </c>
      <c r="AB2">
        <v>117.7747076304871</v>
      </c>
      <c r="AC2">
        <v>117.7747076304871</v>
      </c>
      <c r="AD2">
        <v>122.11724076140833</v>
      </c>
      <c r="AE2">
        <v>122.11724076140833</v>
      </c>
      <c r="AF2">
        <v>122.11724076140833</v>
      </c>
      <c r="AG2">
        <v>9.9692403987468108</v>
      </c>
      <c r="AH2">
        <v>9.9692403987468108</v>
      </c>
      <c r="AI2">
        <v>9.9692403987468108</v>
      </c>
      <c r="AJ2">
        <v>78.09993506093781</v>
      </c>
      <c r="AK2">
        <v>78.09993506093781</v>
      </c>
      <c r="AL2">
        <v>78.09993506093781</v>
      </c>
      <c r="AP2">
        <v>4.9409832398411284</v>
      </c>
      <c r="AQ2">
        <v>4.9409832398411284</v>
      </c>
      <c r="AR2">
        <v>4.9409832398411284</v>
      </c>
      <c r="AS2">
        <v>5.1277125486838444E-3</v>
      </c>
      <c r="AT2">
        <v>5.1277125486838444E-3</v>
      </c>
      <c r="AU2">
        <v>5.1277125486838444E-3</v>
      </c>
      <c r="BC2" t="s">
        <v>15</v>
      </c>
    </row>
    <row r="3" spans="1:55" x14ac:dyDescent="0.45">
      <c r="A3" t="s">
        <v>53</v>
      </c>
      <c r="B3" t="s">
        <v>302</v>
      </c>
      <c r="C3" t="s">
        <v>362</v>
      </c>
      <c r="D3" t="s">
        <v>303</v>
      </c>
      <c r="E3" t="s">
        <v>86</v>
      </c>
      <c r="F3" t="s">
        <v>317</v>
      </c>
      <c r="G3" t="s">
        <v>282</v>
      </c>
      <c r="H3" t="s">
        <v>225</v>
      </c>
      <c r="I3">
        <v>0.2</v>
      </c>
      <c r="J3">
        <v>0.2</v>
      </c>
      <c r="K3">
        <v>0.2</v>
      </c>
      <c r="L3">
        <v>1</v>
      </c>
      <c r="N3">
        <v>0</v>
      </c>
      <c r="O3">
        <v>0</v>
      </c>
      <c r="P3">
        <v>0</v>
      </c>
      <c r="Q3">
        <v>0.28000000000000003</v>
      </c>
      <c r="R3">
        <v>0.28000000000000003</v>
      </c>
      <c r="S3">
        <v>0.28000000000000003</v>
      </c>
      <c r="T3" t="s">
        <v>226</v>
      </c>
      <c r="U3" t="s">
        <v>366</v>
      </c>
      <c r="V3" t="s">
        <v>367</v>
      </c>
      <c r="W3" t="s">
        <v>368</v>
      </c>
      <c r="X3" t="s">
        <v>365</v>
      </c>
      <c r="Y3">
        <v>0.17</v>
      </c>
      <c r="Z3">
        <v>1.1764705882352942</v>
      </c>
      <c r="AA3">
        <v>0.56566490833487659</v>
      </c>
      <c r="AB3">
        <v>0.56566490833487659</v>
      </c>
      <c r="AC3">
        <v>0.56566490833487659</v>
      </c>
      <c r="AD3">
        <v>0.70605426967153773</v>
      </c>
      <c r="AE3">
        <v>0.70605426967153773</v>
      </c>
      <c r="AF3">
        <v>0.70605426967153773</v>
      </c>
      <c r="AG3">
        <v>0.55327120946390662</v>
      </c>
      <c r="AH3">
        <v>0.55327120946390662</v>
      </c>
      <c r="AI3">
        <v>0.55327120946390662</v>
      </c>
      <c r="AJ3">
        <v>20.491472968565958</v>
      </c>
      <c r="AK3">
        <v>20.491472968565958</v>
      </c>
      <c r="AL3">
        <v>20.491472968565958</v>
      </c>
      <c r="AP3">
        <v>0.28989199614304856</v>
      </c>
      <c r="AQ3">
        <v>0.28989199614304856</v>
      </c>
      <c r="AR3">
        <v>0.28989199614304856</v>
      </c>
      <c r="AS3">
        <v>2.3771240070454252E-4</v>
      </c>
      <c r="AT3">
        <v>2.3771240070454252E-4</v>
      </c>
      <c r="AU3">
        <v>2.3771240070454252E-4</v>
      </c>
      <c r="BC3" t="s">
        <v>15</v>
      </c>
    </row>
    <row r="4" spans="1:55" x14ac:dyDescent="0.45">
      <c r="A4" t="s">
        <v>53</v>
      </c>
      <c r="B4" t="s">
        <v>302</v>
      </c>
      <c r="C4" t="s">
        <v>362</v>
      </c>
      <c r="D4" t="s">
        <v>303</v>
      </c>
      <c r="E4" t="s">
        <v>86</v>
      </c>
      <c r="F4" t="s">
        <v>320</v>
      </c>
      <c r="G4" t="s">
        <v>270</v>
      </c>
      <c r="H4" t="s">
        <v>228</v>
      </c>
      <c r="I4">
        <v>120</v>
      </c>
      <c r="J4">
        <v>80</v>
      </c>
      <c r="K4">
        <v>200</v>
      </c>
      <c r="L4">
        <v>1</v>
      </c>
      <c r="N4">
        <v>0.12</v>
      </c>
      <c r="O4">
        <v>0.08</v>
      </c>
      <c r="P4">
        <v>0.2</v>
      </c>
      <c r="Q4">
        <v>3.84</v>
      </c>
      <c r="R4">
        <v>2.56</v>
      </c>
      <c r="S4">
        <v>6.4</v>
      </c>
      <c r="T4" t="s">
        <v>226</v>
      </c>
      <c r="U4" t="s">
        <v>369</v>
      </c>
      <c r="V4" t="s">
        <v>370</v>
      </c>
      <c r="W4" t="s">
        <v>365</v>
      </c>
      <c r="X4" t="s">
        <v>365</v>
      </c>
      <c r="Y4">
        <v>3.6999999999999998E-2</v>
      </c>
      <c r="Z4">
        <v>3243.2432432432433</v>
      </c>
      <c r="AA4">
        <v>10.213343560521063</v>
      </c>
      <c r="AB4">
        <v>6.8088957070140417</v>
      </c>
      <c r="AC4">
        <v>17.022239267535106</v>
      </c>
      <c r="AD4">
        <v>12.591251360869862</v>
      </c>
      <c r="AE4">
        <v>8.3941675739132418</v>
      </c>
      <c r="AF4">
        <v>20.985418934783105</v>
      </c>
      <c r="AG4">
        <v>15.63328121055479</v>
      </c>
      <c r="AH4">
        <v>10.422187473703193</v>
      </c>
      <c r="AI4">
        <v>26.055468684257985</v>
      </c>
      <c r="AJ4">
        <v>362.28741817283174</v>
      </c>
      <c r="AK4">
        <v>241.52494544855449</v>
      </c>
      <c r="AL4">
        <v>603.81236362138623</v>
      </c>
      <c r="AP4">
        <v>12.634295020674815</v>
      </c>
      <c r="AQ4">
        <v>8.4228633471165431</v>
      </c>
      <c r="AR4">
        <v>21.057158367791359</v>
      </c>
      <c r="AS4">
        <v>5.4050244067576168E-3</v>
      </c>
      <c r="AT4">
        <v>3.6033496045050784E-3</v>
      </c>
      <c r="AU4">
        <v>9.0083740112626952E-3</v>
      </c>
      <c r="BC4" t="s">
        <v>15</v>
      </c>
    </row>
    <row r="5" spans="1:55" x14ac:dyDescent="0.45">
      <c r="A5" t="s">
        <v>53</v>
      </c>
      <c r="B5" t="s">
        <v>302</v>
      </c>
      <c r="C5" t="s">
        <v>362</v>
      </c>
      <c r="D5" t="s">
        <v>303</v>
      </c>
      <c r="E5" t="s">
        <v>86</v>
      </c>
      <c r="F5" t="s">
        <v>351</v>
      </c>
      <c r="G5" t="s">
        <v>231</v>
      </c>
      <c r="H5" t="s">
        <v>225</v>
      </c>
      <c r="I5">
        <v>400</v>
      </c>
      <c r="J5">
        <v>400</v>
      </c>
      <c r="K5">
        <v>400</v>
      </c>
      <c r="L5">
        <v>1</v>
      </c>
      <c r="N5">
        <v>0.4</v>
      </c>
      <c r="O5">
        <v>0.4</v>
      </c>
      <c r="P5">
        <v>0.4</v>
      </c>
      <c r="Q5">
        <v>960</v>
      </c>
      <c r="R5">
        <v>960</v>
      </c>
      <c r="S5">
        <v>960</v>
      </c>
      <c r="T5" t="s">
        <v>226</v>
      </c>
      <c r="U5" t="s">
        <v>371</v>
      </c>
      <c r="V5" t="s">
        <v>372</v>
      </c>
      <c r="W5" t="s">
        <v>365</v>
      </c>
      <c r="X5" t="s">
        <v>365</v>
      </c>
      <c r="Y5">
        <v>1.4</v>
      </c>
      <c r="Z5">
        <v>285.71428571428572</v>
      </c>
      <c r="AA5">
        <v>726.86732249911267</v>
      </c>
      <c r="AB5">
        <v>726.86732249911267</v>
      </c>
      <c r="AC5">
        <v>726.86732249911267</v>
      </c>
      <c r="AD5">
        <v>788.55133012764065</v>
      </c>
      <c r="AE5">
        <v>788.55133012764065</v>
      </c>
      <c r="AF5">
        <v>788.55133012764065</v>
      </c>
      <c r="AG5">
        <v>81.105684599974055</v>
      </c>
      <c r="AH5">
        <v>81.105684599974055</v>
      </c>
      <c r="AI5">
        <v>81.105684599974055</v>
      </c>
      <c r="AJ5">
        <v>539.73189559411253</v>
      </c>
      <c r="AK5">
        <v>539.73189559411253</v>
      </c>
      <c r="AL5">
        <v>539.73189559411253</v>
      </c>
      <c r="AP5">
        <v>41.234731790892837</v>
      </c>
      <c r="AQ5">
        <v>41.234731790892837</v>
      </c>
      <c r="AR5">
        <v>41.234731790892837</v>
      </c>
      <c r="AS5">
        <v>3.478898463968548E-2</v>
      </c>
      <c r="AT5">
        <v>3.478898463968548E-2</v>
      </c>
      <c r="AU5">
        <v>3.478898463968548E-2</v>
      </c>
      <c r="BC5" t="s">
        <v>15</v>
      </c>
    </row>
    <row r="6" spans="1:55" x14ac:dyDescent="0.45">
      <c r="A6" t="s">
        <v>53</v>
      </c>
      <c r="B6" t="s">
        <v>302</v>
      </c>
      <c r="C6" t="s">
        <v>362</v>
      </c>
      <c r="D6" t="s">
        <v>303</v>
      </c>
      <c r="E6" t="s">
        <v>86</v>
      </c>
      <c r="F6" t="s">
        <v>323</v>
      </c>
      <c r="G6" t="s">
        <v>279</v>
      </c>
      <c r="H6" t="s">
        <v>225</v>
      </c>
      <c r="I6">
        <v>4.5</v>
      </c>
      <c r="J6">
        <v>4.5</v>
      </c>
      <c r="K6">
        <v>4.5</v>
      </c>
      <c r="L6">
        <v>1</v>
      </c>
      <c r="N6">
        <v>0</v>
      </c>
      <c r="O6">
        <v>0</v>
      </c>
      <c r="P6">
        <v>0</v>
      </c>
      <c r="Q6">
        <v>5.4</v>
      </c>
      <c r="R6">
        <v>5.4</v>
      </c>
      <c r="S6">
        <v>5.4</v>
      </c>
      <c r="T6" t="s">
        <v>226</v>
      </c>
      <c r="U6" t="s">
        <v>373</v>
      </c>
      <c r="V6" t="s">
        <v>374</v>
      </c>
      <c r="W6" t="s">
        <v>375</v>
      </c>
      <c r="X6" t="s">
        <v>365</v>
      </c>
      <c r="Y6">
        <v>0.215</v>
      </c>
      <c r="Z6">
        <v>20.930232558139537</v>
      </c>
      <c r="AA6">
        <v>8.5845268188329023</v>
      </c>
      <c r="AB6">
        <v>8.5845268188329023</v>
      </c>
      <c r="AC6">
        <v>8.5845268188329023</v>
      </c>
      <c r="AD6">
        <v>10.861523684728702</v>
      </c>
      <c r="AE6">
        <v>10.861523684728702</v>
      </c>
      <c r="AF6">
        <v>10.861523684728702</v>
      </c>
      <c r="AG6">
        <v>3.0978425180957716</v>
      </c>
      <c r="AH6">
        <v>3.0978425180957716</v>
      </c>
      <c r="AI6">
        <v>3.0978425180957716</v>
      </c>
      <c r="AJ6">
        <v>205.89156271166578</v>
      </c>
      <c r="AK6">
        <v>205.89156271166578</v>
      </c>
      <c r="AL6">
        <v>205.89156271166578</v>
      </c>
      <c r="AP6">
        <v>1.0439895220025921</v>
      </c>
      <c r="AQ6">
        <v>1.0439895220025921</v>
      </c>
      <c r="AR6">
        <v>1.0439895220025921</v>
      </c>
      <c r="AS6">
        <v>2.0788073179691066E-3</v>
      </c>
      <c r="AT6">
        <v>2.0788073179691066E-3</v>
      </c>
      <c r="AU6">
        <v>2.0788073179691066E-3</v>
      </c>
      <c r="BC6" t="s">
        <v>15</v>
      </c>
    </row>
    <row r="7" spans="1:55" x14ac:dyDescent="0.45">
      <c r="A7" t="s">
        <v>53</v>
      </c>
      <c r="B7" t="s">
        <v>302</v>
      </c>
      <c r="C7" t="s">
        <v>362</v>
      </c>
      <c r="D7" t="s">
        <v>303</v>
      </c>
      <c r="E7" t="s">
        <v>86</v>
      </c>
      <c r="F7" t="s">
        <v>321</v>
      </c>
      <c r="G7" t="s">
        <v>256</v>
      </c>
      <c r="H7" t="s">
        <v>225</v>
      </c>
      <c r="I7">
        <v>150</v>
      </c>
      <c r="J7">
        <v>150</v>
      </c>
      <c r="K7">
        <v>150</v>
      </c>
      <c r="L7">
        <v>1</v>
      </c>
      <c r="N7">
        <v>0.15</v>
      </c>
      <c r="O7">
        <v>0.15</v>
      </c>
      <c r="P7">
        <v>0.15</v>
      </c>
      <c r="Q7">
        <v>360</v>
      </c>
      <c r="R7">
        <v>360</v>
      </c>
      <c r="S7">
        <v>360</v>
      </c>
      <c r="T7" t="s">
        <v>226</v>
      </c>
      <c r="U7" t="s">
        <v>376</v>
      </c>
      <c r="V7" t="s">
        <v>372</v>
      </c>
      <c r="W7" t="s">
        <v>365</v>
      </c>
      <c r="X7" t="s">
        <v>365</v>
      </c>
      <c r="Y7">
        <v>1.4</v>
      </c>
      <c r="Z7">
        <v>107.14285714285715</v>
      </c>
      <c r="AA7">
        <v>434.38885675165795</v>
      </c>
      <c r="AB7">
        <v>434.38885675165795</v>
      </c>
      <c r="AC7">
        <v>434.38885675165795</v>
      </c>
      <c r="AD7">
        <v>465.59575440345964</v>
      </c>
      <c r="AE7">
        <v>465.59575440345964</v>
      </c>
      <c r="AF7">
        <v>465.59575440345964</v>
      </c>
      <c r="AG7">
        <v>83.710457744599083</v>
      </c>
      <c r="AH7">
        <v>83.710457744599083</v>
      </c>
      <c r="AI7">
        <v>83.710457744599083</v>
      </c>
      <c r="AJ7">
        <v>646.64678231362802</v>
      </c>
      <c r="AK7">
        <v>646.64678231362802</v>
      </c>
      <c r="AL7">
        <v>646.64678231362802</v>
      </c>
      <c r="AP7">
        <v>12.044908075038624</v>
      </c>
      <c r="AQ7">
        <v>12.044908075038624</v>
      </c>
      <c r="AR7">
        <v>12.044908075038624</v>
      </c>
      <c r="AS7">
        <v>2.5192635974851219E-2</v>
      </c>
      <c r="AT7">
        <v>2.5192635974851219E-2</v>
      </c>
      <c r="AU7">
        <v>2.5192635974851219E-2</v>
      </c>
      <c r="BC7" t="s">
        <v>15</v>
      </c>
    </row>
    <row r="8" spans="1:55" x14ac:dyDescent="0.45">
      <c r="A8" t="s">
        <v>53</v>
      </c>
      <c r="B8" t="s">
        <v>306</v>
      </c>
      <c r="C8" t="s">
        <v>377</v>
      </c>
      <c r="D8" t="s">
        <v>303</v>
      </c>
      <c r="E8" t="s">
        <v>71</v>
      </c>
      <c r="F8" t="s">
        <v>304</v>
      </c>
      <c r="G8" t="s">
        <v>224</v>
      </c>
      <c r="H8" t="s">
        <v>225</v>
      </c>
      <c r="I8">
        <v>50</v>
      </c>
      <c r="J8">
        <v>50</v>
      </c>
      <c r="K8">
        <v>50</v>
      </c>
      <c r="L8">
        <v>1</v>
      </c>
      <c r="N8">
        <v>0.05</v>
      </c>
      <c r="O8">
        <v>0.05</v>
      </c>
      <c r="P8">
        <v>0.05</v>
      </c>
      <c r="Q8">
        <v>118</v>
      </c>
      <c r="R8">
        <v>118</v>
      </c>
      <c r="S8">
        <v>118</v>
      </c>
      <c r="T8" t="s">
        <v>226</v>
      </c>
      <c r="U8" t="s">
        <v>363</v>
      </c>
      <c r="V8" t="s">
        <v>364</v>
      </c>
      <c r="W8" t="s">
        <v>365</v>
      </c>
      <c r="X8" t="s">
        <v>365</v>
      </c>
      <c r="Y8">
        <v>1.4</v>
      </c>
      <c r="Z8">
        <v>35.714285714285715</v>
      </c>
      <c r="AA8">
        <v>117.7747076304871</v>
      </c>
      <c r="AB8">
        <v>117.7747076304871</v>
      </c>
      <c r="AC8">
        <v>117.7747076304871</v>
      </c>
      <c r="AD8">
        <v>122.11724076140833</v>
      </c>
      <c r="AE8">
        <v>122.11724076140833</v>
      </c>
      <c r="AF8">
        <v>122.11724076140833</v>
      </c>
      <c r="AG8">
        <v>9.9692403987468108</v>
      </c>
      <c r="AH8">
        <v>9.9692403987468108</v>
      </c>
      <c r="AI8">
        <v>9.9692403987468108</v>
      </c>
      <c r="AJ8">
        <v>78.09993506093781</v>
      </c>
      <c r="AK8">
        <v>78.09993506093781</v>
      </c>
      <c r="AL8">
        <v>78.09993506093781</v>
      </c>
      <c r="AP8">
        <v>4.9409832398411284</v>
      </c>
      <c r="AQ8">
        <v>4.9409832398411284</v>
      </c>
      <c r="AR8">
        <v>4.9409832398411284</v>
      </c>
      <c r="AS8">
        <v>5.1277125486838444E-3</v>
      </c>
      <c r="AT8">
        <v>5.1277125486838444E-3</v>
      </c>
      <c r="AU8">
        <v>5.1277125486838444E-3</v>
      </c>
      <c r="BC8" t="s">
        <v>15</v>
      </c>
    </row>
    <row r="9" spans="1:55" x14ac:dyDescent="0.45">
      <c r="A9" t="s">
        <v>53</v>
      </c>
      <c r="B9" t="s">
        <v>306</v>
      </c>
      <c r="C9" t="s">
        <v>377</v>
      </c>
      <c r="D9" t="s">
        <v>303</v>
      </c>
      <c r="E9" t="s">
        <v>71</v>
      </c>
      <c r="F9" t="s">
        <v>317</v>
      </c>
      <c r="G9" t="s">
        <v>282</v>
      </c>
      <c r="H9" t="s">
        <v>225</v>
      </c>
      <c r="I9">
        <v>0.2</v>
      </c>
      <c r="J9">
        <v>0.2</v>
      </c>
      <c r="K9">
        <v>0.2</v>
      </c>
      <c r="L9">
        <v>1</v>
      </c>
      <c r="N9">
        <v>0</v>
      </c>
      <c r="O9">
        <v>0</v>
      </c>
      <c r="P9">
        <v>0</v>
      </c>
      <c r="Q9">
        <v>0.28000000000000003</v>
      </c>
      <c r="R9">
        <v>0.28000000000000003</v>
      </c>
      <c r="S9">
        <v>0.28000000000000003</v>
      </c>
      <c r="T9" t="s">
        <v>226</v>
      </c>
      <c r="U9" t="s">
        <v>366</v>
      </c>
      <c r="V9" t="s">
        <v>367</v>
      </c>
      <c r="W9" t="s">
        <v>368</v>
      </c>
      <c r="X9" t="s">
        <v>365</v>
      </c>
      <c r="Y9">
        <v>0.17</v>
      </c>
      <c r="Z9">
        <v>1.1764705882352942</v>
      </c>
      <c r="AA9">
        <v>0.56566490833487659</v>
      </c>
      <c r="AB9">
        <v>0.56566490833487659</v>
      </c>
      <c r="AC9">
        <v>0.56566490833487659</v>
      </c>
      <c r="AD9">
        <v>0.70605426967153773</v>
      </c>
      <c r="AE9">
        <v>0.70605426967153773</v>
      </c>
      <c r="AF9">
        <v>0.70605426967153773</v>
      </c>
      <c r="AG9">
        <v>0.55327120946390662</v>
      </c>
      <c r="AH9">
        <v>0.55327120946390662</v>
      </c>
      <c r="AI9">
        <v>0.55327120946390662</v>
      </c>
      <c r="AJ9">
        <v>20.491472968565958</v>
      </c>
      <c r="AK9">
        <v>20.491472968565958</v>
      </c>
      <c r="AL9">
        <v>20.491472968565958</v>
      </c>
      <c r="AP9">
        <v>0.28989199614304856</v>
      </c>
      <c r="AQ9">
        <v>0.28989199614304856</v>
      </c>
      <c r="AR9">
        <v>0.28989199614304856</v>
      </c>
      <c r="AS9">
        <v>2.3771240070454252E-4</v>
      </c>
      <c r="AT9">
        <v>2.3771240070454252E-4</v>
      </c>
      <c r="AU9">
        <v>2.3771240070454252E-4</v>
      </c>
      <c r="BC9" t="s">
        <v>15</v>
      </c>
    </row>
    <row r="10" spans="1:55" x14ac:dyDescent="0.45">
      <c r="A10" t="s">
        <v>53</v>
      </c>
      <c r="B10" t="s">
        <v>306</v>
      </c>
      <c r="C10" t="s">
        <v>377</v>
      </c>
      <c r="D10" t="s">
        <v>303</v>
      </c>
      <c r="E10" t="s">
        <v>71</v>
      </c>
      <c r="F10" t="s">
        <v>320</v>
      </c>
      <c r="G10" t="s">
        <v>270</v>
      </c>
      <c r="H10" t="s">
        <v>228</v>
      </c>
      <c r="I10">
        <v>120</v>
      </c>
      <c r="J10">
        <v>80</v>
      </c>
      <c r="K10">
        <v>200</v>
      </c>
      <c r="L10">
        <v>1</v>
      </c>
      <c r="N10">
        <v>0.12</v>
      </c>
      <c r="O10">
        <v>0.08</v>
      </c>
      <c r="P10">
        <v>0.2</v>
      </c>
      <c r="Q10">
        <v>3.84</v>
      </c>
      <c r="R10">
        <v>2.56</v>
      </c>
      <c r="S10">
        <v>6.4</v>
      </c>
      <c r="T10" t="s">
        <v>226</v>
      </c>
      <c r="U10" t="s">
        <v>369</v>
      </c>
      <c r="V10" t="s">
        <v>370</v>
      </c>
      <c r="W10" t="s">
        <v>365</v>
      </c>
      <c r="X10" t="s">
        <v>365</v>
      </c>
      <c r="Y10">
        <v>3.6999999999999998E-2</v>
      </c>
      <c r="Z10">
        <v>3243.2432432432433</v>
      </c>
      <c r="AA10">
        <v>10.213343560521063</v>
      </c>
      <c r="AB10">
        <v>6.8088957070140417</v>
      </c>
      <c r="AC10">
        <v>17.022239267535106</v>
      </c>
      <c r="AD10">
        <v>12.591251360869862</v>
      </c>
      <c r="AE10">
        <v>8.3941675739132418</v>
      </c>
      <c r="AF10">
        <v>20.985418934783105</v>
      </c>
      <c r="AG10">
        <v>15.63328121055479</v>
      </c>
      <c r="AH10">
        <v>10.422187473703193</v>
      </c>
      <c r="AI10">
        <v>26.055468684257985</v>
      </c>
      <c r="AJ10">
        <v>362.28741817283174</v>
      </c>
      <c r="AK10">
        <v>241.52494544855449</v>
      </c>
      <c r="AL10">
        <v>603.81236362138623</v>
      </c>
      <c r="AP10">
        <v>12.634295020674815</v>
      </c>
      <c r="AQ10">
        <v>8.4228633471165431</v>
      </c>
      <c r="AR10">
        <v>21.057158367791359</v>
      </c>
      <c r="AS10">
        <v>5.4050244067576168E-3</v>
      </c>
      <c r="AT10">
        <v>3.6033496045050784E-3</v>
      </c>
      <c r="AU10">
        <v>9.0083740112626952E-3</v>
      </c>
      <c r="BC10" t="s">
        <v>15</v>
      </c>
    </row>
    <row r="11" spans="1:55" x14ac:dyDescent="0.45">
      <c r="A11" t="s">
        <v>53</v>
      </c>
      <c r="B11" t="s">
        <v>306</v>
      </c>
      <c r="C11" t="s">
        <v>377</v>
      </c>
      <c r="D11" t="s">
        <v>303</v>
      </c>
      <c r="E11" t="s">
        <v>71</v>
      </c>
      <c r="F11" t="s">
        <v>307</v>
      </c>
      <c r="G11" t="s">
        <v>224</v>
      </c>
      <c r="H11" t="s">
        <v>225</v>
      </c>
      <c r="I11">
        <v>400</v>
      </c>
      <c r="J11">
        <v>400</v>
      </c>
      <c r="K11">
        <v>400</v>
      </c>
      <c r="L11">
        <v>1</v>
      </c>
      <c r="N11">
        <v>0.4</v>
      </c>
      <c r="O11">
        <v>0.4</v>
      </c>
      <c r="P11">
        <v>0.4</v>
      </c>
      <c r="Q11">
        <v>944</v>
      </c>
      <c r="R11">
        <v>944</v>
      </c>
      <c r="S11">
        <v>944</v>
      </c>
      <c r="T11" t="s">
        <v>226</v>
      </c>
      <c r="U11" t="s">
        <v>363</v>
      </c>
      <c r="V11" t="s">
        <v>364</v>
      </c>
      <c r="W11" t="s">
        <v>365</v>
      </c>
      <c r="X11" t="s">
        <v>365</v>
      </c>
      <c r="Y11">
        <v>1.4</v>
      </c>
      <c r="Z11">
        <v>285.71428571428572</v>
      </c>
      <c r="AA11">
        <v>942.1976610438968</v>
      </c>
      <c r="AB11">
        <v>942.1976610438968</v>
      </c>
      <c r="AC11">
        <v>942.1976610438968</v>
      </c>
      <c r="AD11">
        <v>976.9379260912666</v>
      </c>
      <c r="AE11">
        <v>976.9379260912666</v>
      </c>
      <c r="AF11">
        <v>976.9379260912666</v>
      </c>
      <c r="AG11">
        <v>79.753923189974486</v>
      </c>
      <c r="AH11">
        <v>79.753923189974486</v>
      </c>
      <c r="AI11">
        <v>79.753923189974486</v>
      </c>
      <c r="AJ11">
        <v>624.79948048750248</v>
      </c>
      <c r="AK11">
        <v>624.79948048750248</v>
      </c>
      <c r="AL11">
        <v>624.79948048750248</v>
      </c>
      <c r="AP11">
        <v>39.527865918729027</v>
      </c>
      <c r="AQ11">
        <v>39.527865918729027</v>
      </c>
      <c r="AR11">
        <v>39.527865918729027</v>
      </c>
      <c r="AS11">
        <v>4.1021700389470755E-2</v>
      </c>
      <c r="AT11">
        <v>4.1021700389470755E-2</v>
      </c>
      <c r="AU11">
        <v>4.1021700389470755E-2</v>
      </c>
      <c r="BC11" t="s">
        <v>15</v>
      </c>
    </row>
    <row r="12" spans="1:55" x14ac:dyDescent="0.45">
      <c r="A12" t="s">
        <v>53</v>
      </c>
      <c r="B12" t="s">
        <v>306</v>
      </c>
      <c r="C12" t="s">
        <v>377</v>
      </c>
      <c r="D12" t="s">
        <v>303</v>
      </c>
      <c r="E12" t="s">
        <v>71</v>
      </c>
      <c r="F12" t="s">
        <v>323</v>
      </c>
      <c r="G12" t="s">
        <v>279</v>
      </c>
      <c r="H12" t="s">
        <v>225</v>
      </c>
      <c r="I12">
        <v>4.5</v>
      </c>
      <c r="J12">
        <v>4.5</v>
      </c>
      <c r="K12">
        <v>4.5</v>
      </c>
      <c r="L12">
        <v>1</v>
      </c>
      <c r="N12">
        <v>0</v>
      </c>
      <c r="O12">
        <v>0</v>
      </c>
      <c r="P12">
        <v>0</v>
      </c>
      <c r="Q12">
        <v>5.4</v>
      </c>
      <c r="R12">
        <v>5.4</v>
      </c>
      <c r="S12">
        <v>5.4</v>
      </c>
      <c r="T12" t="s">
        <v>226</v>
      </c>
      <c r="U12" t="s">
        <v>373</v>
      </c>
      <c r="V12" t="s">
        <v>374</v>
      </c>
      <c r="W12" t="s">
        <v>375</v>
      </c>
      <c r="X12" t="s">
        <v>365</v>
      </c>
      <c r="Y12">
        <v>0.215</v>
      </c>
      <c r="Z12">
        <v>20.930232558139537</v>
      </c>
      <c r="AA12">
        <v>8.5845268188329023</v>
      </c>
      <c r="AB12">
        <v>8.5845268188329023</v>
      </c>
      <c r="AC12">
        <v>8.5845268188329023</v>
      </c>
      <c r="AD12">
        <v>10.861523684728702</v>
      </c>
      <c r="AE12">
        <v>10.861523684728702</v>
      </c>
      <c r="AF12">
        <v>10.861523684728702</v>
      </c>
      <c r="AG12">
        <v>3.0978425180957716</v>
      </c>
      <c r="AH12">
        <v>3.0978425180957716</v>
      </c>
      <c r="AI12">
        <v>3.0978425180957716</v>
      </c>
      <c r="AJ12">
        <v>205.89156271166578</v>
      </c>
      <c r="AK12">
        <v>205.89156271166578</v>
      </c>
      <c r="AL12">
        <v>205.89156271166578</v>
      </c>
      <c r="AP12">
        <v>1.0439895220025921</v>
      </c>
      <c r="AQ12">
        <v>1.0439895220025921</v>
      </c>
      <c r="AR12">
        <v>1.0439895220025921</v>
      </c>
      <c r="AS12">
        <v>2.0788073179691066E-3</v>
      </c>
      <c r="AT12">
        <v>2.0788073179691066E-3</v>
      </c>
      <c r="AU12">
        <v>2.0788073179691066E-3</v>
      </c>
      <c r="BC12" t="s">
        <v>15</v>
      </c>
    </row>
    <row r="13" spans="1:55" x14ac:dyDescent="0.45">
      <c r="A13" t="s">
        <v>53</v>
      </c>
      <c r="B13" t="s">
        <v>306</v>
      </c>
      <c r="C13" t="s">
        <v>377</v>
      </c>
      <c r="D13" t="s">
        <v>303</v>
      </c>
      <c r="E13" t="s">
        <v>71</v>
      </c>
      <c r="F13" t="s">
        <v>321</v>
      </c>
      <c r="G13" t="s">
        <v>256</v>
      </c>
      <c r="H13" t="s">
        <v>225</v>
      </c>
      <c r="I13">
        <v>150</v>
      </c>
      <c r="J13">
        <v>150</v>
      </c>
      <c r="K13">
        <v>150</v>
      </c>
      <c r="L13">
        <v>1</v>
      </c>
      <c r="N13">
        <v>0.15</v>
      </c>
      <c r="O13">
        <v>0.15</v>
      </c>
      <c r="P13">
        <v>0.15</v>
      </c>
      <c r="Q13">
        <v>360</v>
      </c>
      <c r="R13">
        <v>360</v>
      </c>
      <c r="S13">
        <v>360</v>
      </c>
      <c r="T13" t="s">
        <v>226</v>
      </c>
      <c r="U13" t="s">
        <v>376</v>
      </c>
      <c r="V13" t="s">
        <v>372</v>
      </c>
      <c r="W13" t="s">
        <v>365</v>
      </c>
      <c r="X13" t="s">
        <v>365</v>
      </c>
      <c r="Y13">
        <v>1.4</v>
      </c>
      <c r="Z13">
        <v>107.14285714285715</v>
      </c>
      <c r="AA13">
        <v>434.38885675165795</v>
      </c>
      <c r="AB13">
        <v>434.38885675165795</v>
      </c>
      <c r="AC13">
        <v>434.38885675165795</v>
      </c>
      <c r="AD13">
        <v>465.59575440345964</v>
      </c>
      <c r="AE13">
        <v>465.59575440345964</v>
      </c>
      <c r="AF13">
        <v>465.59575440345964</v>
      </c>
      <c r="AG13">
        <v>83.710457744599083</v>
      </c>
      <c r="AH13">
        <v>83.710457744599083</v>
      </c>
      <c r="AI13">
        <v>83.710457744599083</v>
      </c>
      <c r="AJ13">
        <v>646.64678231362802</v>
      </c>
      <c r="AK13">
        <v>646.64678231362802</v>
      </c>
      <c r="AL13">
        <v>646.64678231362802</v>
      </c>
      <c r="AP13">
        <v>12.044908075038624</v>
      </c>
      <c r="AQ13">
        <v>12.044908075038624</v>
      </c>
      <c r="AR13">
        <v>12.044908075038624</v>
      </c>
      <c r="AS13">
        <v>2.5192635974851219E-2</v>
      </c>
      <c r="AT13">
        <v>2.5192635974851219E-2</v>
      </c>
      <c r="AU13">
        <v>2.5192635974851219E-2</v>
      </c>
      <c r="BC13" t="s">
        <v>15</v>
      </c>
    </row>
    <row r="14" spans="1:55" x14ac:dyDescent="0.45">
      <c r="A14" t="s">
        <v>87</v>
      </c>
      <c r="B14" t="s">
        <v>308</v>
      </c>
      <c r="C14" t="s">
        <v>377</v>
      </c>
      <c r="D14" t="s">
        <v>309</v>
      </c>
      <c r="E14" t="s">
        <v>90</v>
      </c>
      <c r="F14" t="s">
        <v>329</v>
      </c>
      <c r="G14" t="s">
        <v>269</v>
      </c>
      <c r="H14" t="s">
        <v>228</v>
      </c>
      <c r="I14">
        <v>140</v>
      </c>
      <c r="J14">
        <v>100</v>
      </c>
      <c r="K14">
        <v>220</v>
      </c>
      <c r="L14">
        <v>1</v>
      </c>
      <c r="N14">
        <v>0.14000000000000001</v>
      </c>
      <c r="O14">
        <v>0.1</v>
      </c>
      <c r="P14">
        <v>0.22</v>
      </c>
      <c r="Q14">
        <v>3.5</v>
      </c>
      <c r="R14">
        <v>2.5</v>
      </c>
      <c r="S14">
        <v>5.5</v>
      </c>
      <c r="T14" t="s">
        <v>378</v>
      </c>
      <c r="U14" t="s">
        <v>379</v>
      </c>
      <c r="V14" t="s">
        <v>380</v>
      </c>
      <c r="W14" t="s">
        <v>365</v>
      </c>
      <c r="X14" t="s">
        <v>365</v>
      </c>
      <c r="Y14">
        <v>0.03</v>
      </c>
      <c r="Z14">
        <v>4666.666666666667</v>
      </c>
      <c r="AA14">
        <v>7.3511986989897053</v>
      </c>
      <c r="AB14">
        <v>5.2508562135640746</v>
      </c>
      <c r="AC14">
        <v>11.551883669840965</v>
      </c>
      <c r="AD14">
        <v>8.6144965316856617</v>
      </c>
      <c r="AE14">
        <v>6.1532118083469003</v>
      </c>
      <c r="AF14">
        <v>13.537065978363181</v>
      </c>
      <c r="AG14">
        <v>12.855238483464827</v>
      </c>
      <c r="AH14">
        <v>9.1823132024748748</v>
      </c>
      <c r="AI14">
        <v>20.201089045444725</v>
      </c>
      <c r="AJ14">
        <v>301.75863394941285</v>
      </c>
      <c r="AK14">
        <v>215.54188139243774</v>
      </c>
      <c r="AL14">
        <v>474.19213906336302</v>
      </c>
      <c r="AP14">
        <v>9.2672296315016975</v>
      </c>
      <c r="AQ14">
        <v>6.6194497367869252</v>
      </c>
      <c r="AR14">
        <v>14.562789420931235</v>
      </c>
      <c r="AS14">
        <v>4.3440498929561335E-3</v>
      </c>
      <c r="AT14">
        <v>3.1028927806829526E-3</v>
      </c>
      <c r="AU14">
        <v>6.8263641175024953E-3</v>
      </c>
      <c r="BC14" t="s">
        <v>15</v>
      </c>
    </row>
    <row r="15" spans="1:55" x14ac:dyDescent="0.45">
      <c r="A15" t="s">
        <v>87</v>
      </c>
      <c r="B15" t="s">
        <v>308</v>
      </c>
      <c r="C15" t="s">
        <v>377</v>
      </c>
      <c r="D15" t="s">
        <v>309</v>
      </c>
      <c r="E15" t="s">
        <v>90</v>
      </c>
      <c r="F15" t="s">
        <v>310</v>
      </c>
      <c r="G15" t="s">
        <v>252</v>
      </c>
      <c r="H15" t="s">
        <v>225</v>
      </c>
      <c r="I15">
        <v>15</v>
      </c>
      <c r="J15">
        <v>15</v>
      </c>
      <c r="K15">
        <v>15</v>
      </c>
      <c r="L15">
        <v>1</v>
      </c>
      <c r="N15">
        <v>0.02</v>
      </c>
      <c r="O15">
        <v>0.02</v>
      </c>
      <c r="P15">
        <v>0.02</v>
      </c>
      <c r="Q15">
        <v>15.75</v>
      </c>
      <c r="R15">
        <v>15.75</v>
      </c>
      <c r="S15">
        <v>15.75</v>
      </c>
      <c r="T15" t="s">
        <v>252</v>
      </c>
      <c r="U15" t="s">
        <v>381</v>
      </c>
      <c r="V15" t="s">
        <v>382</v>
      </c>
      <c r="W15" t="s">
        <v>365</v>
      </c>
      <c r="X15" t="s">
        <v>365</v>
      </c>
      <c r="Y15">
        <v>1</v>
      </c>
      <c r="Z15">
        <v>15</v>
      </c>
      <c r="AA15">
        <v>19.102641975961582</v>
      </c>
      <c r="AB15">
        <v>19.102641975961582</v>
      </c>
      <c r="AC15">
        <v>19.102641975961582</v>
      </c>
      <c r="AD15">
        <v>19.894952377912816</v>
      </c>
      <c r="AE15">
        <v>19.894952377912816</v>
      </c>
      <c r="AF15">
        <v>19.894952377912816</v>
      </c>
      <c r="AG15">
        <v>1.8596920563101473</v>
      </c>
      <c r="AH15">
        <v>1.8596920563101473</v>
      </c>
      <c r="AI15">
        <v>1.8596920563101473</v>
      </c>
      <c r="AJ15">
        <v>26.945451563913227</v>
      </c>
      <c r="AK15">
        <v>26.945451563913227</v>
      </c>
      <c r="AL15">
        <v>26.945451563913227</v>
      </c>
      <c r="AP15">
        <v>1.9586296940800589</v>
      </c>
      <c r="AQ15">
        <v>1.9586296940800589</v>
      </c>
      <c r="AR15">
        <v>1.9586296940800589</v>
      </c>
      <c r="AS15">
        <v>1.0580831622736952E-3</v>
      </c>
      <c r="AT15">
        <v>1.0580831622736952E-3</v>
      </c>
      <c r="AU15">
        <v>1.0580831622736952E-3</v>
      </c>
      <c r="BC15" t="s">
        <v>15</v>
      </c>
    </row>
    <row r="16" spans="1:55" x14ac:dyDescent="0.45">
      <c r="A16" t="s">
        <v>87</v>
      </c>
      <c r="B16" t="s">
        <v>308</v>
      </c>
      <c r="C16" t="s">
        <v>377</v>
      </c>
      <c r="D16" t="s">
        <v>309</v>
      </c>
      <c r="E16" t="s">
        <v>90</v>
      </c>
      <c r="F16" t="s">
        <v>264</v>
      </c>
      <c r="G16" t="s">
        <v>264</v>
      </c>
      <c r="H16" t="s">
        <v>225</v>
      </c>
      <c r="I16">
        <v>175</v>
      </c>
      <c r="J16">
        <v>175</v>
      </c>
      <c r="K16">
        <v>175</v>
      </c>
      <c r="L16">
        <v>1</v>
      </c>
      <c r="N16">
        <v>0.18</v>
      </c>
      <c r="O16">
        <v>0.18</v>
      </c>
      <c r="P16">
        <v>0.18</v>
      </c>
      <c r="Q16">
        <v>350</v>
      </c>
      <c r="R16">
        <v>350</v>
      </c>
      <c r="S16">
        <v>350</v>
      </c>
      <c r="T16" t="s">
        <v>383</v>
      </c>
      <c r="U16" t="s">
        <v>384</v>
      </c>
      <c r="V16" t="s">
        <v>385</v>
      </c>
      <c r="W16" t="s">
        <v>365</v>
      </c>
      <c r="X16" t="s">
        <v>365</v>
      </c>
      <c r="Y16">
        <v>0.9</v>
      </c>
      <c r="Z16">
        <v>194.44444444444443</v>
      </c>
      <c r="AA16">
        <v>426.25431281493201</v>
      </c>
      <c r="AB16">
        <v>426.25431281493201</v>
      </c>
      <c r="AC16">
        <v>426.25431281493201</v>
      </c>
      <c r="AD16">
        <v>435.89904950309898</v>
      </c>
      <c r="AE16">
        <v>435.89904950309898</v>
      </c>
      <c r="AF16">
        <v>435.89904950309898</v>
      </c>
      <c r="AG16">
        <v>51.831618606228297</v>
      </c>
      <c r="AH16">
        <v>51.831618606228297</v>
      </c>
      <c r="AI16">
        <v>51.831618606228297</v>
      </c>
      <c r="AJ16">
        <v>407.24317030097745</v>
      </c>
      <c r="AK16">
        <v>407.24317030097745</v>
      </c>
      <c r="AL16">
        <v>407.24317030097745</v>
      </c>
      <c r="AP16">
        <v>22.186027049375522</v>
      </c>
      <c r="AQ16">
        <v>22.186027049375522</v>
      </c>
      <c r="AR16">
        <v>22.186027049375522</v>
      </c>
      <c r="AS16">
        <v>2.1260334404191505E-2</v>
      </c>
      <c r="AT16">
        <v>2.1260334404191505E-2</v>
      </c>
      <c r="AU16">
        <v>2.1260334404191505E-2</v>
      </c>
      <c r="BC16" t="s">
        <v>15</v>
      </c>
    </row>
    <row r="17" spans="1:55" x14ac:dyDescent="0.45">
      <c r="A17" t="s">
        <v>87</v>
      </c>
      <c r="B17" t="s">
        <v>311</v>
      </c>
      <c r="C17" t="s">
        <v>386</v>
      </c>
      <c r="D17" t="s">
        <v>312</v>
      </c>
      <c r="E17" t="s">
        <v>97</v>
      </c>
      <c r="F17" t="s">
        <v>331</v>
      </c>
      <c r="G17" t="s">
        <v>227</v>
      </c>
      <c r="H17" t="s">
        <v>228</v>
      </c>
      <c r="I17">
        <v>120</v>
      </c>
      <c r="J17">
        <v>80</v>
      </c>
      <c r="K17">
        <v>200</v>
      </c>
      <c r="L17">
        <v>1</v>
      </c>
      <c r="N17">
        <v>0.12</v>
      </c>
      <c r="O17">
        <v>0.08</v>
      </c>
      <c r="P17">
        <v>0.2</v>
      </c>
      <c r="Q17">
        <v>5.55</v>
      </c>
      <c r="R17">
        <v>3.7</v>
      </c>
      <c r="S17">
        <v>9.25</v>
      </c>
      <c r="T17" t="s">
        <v>227</v>
      </c>
      <c r="U17" t="s">
        <v>387</v>
      </c>
      <c r="V17" t="s">
        <v>388</v>
      </c>
      <c r="W17" t="s">
        <v>365</v>
      </c>
      <c r="X17" t="s">
        <v>365</v>
      </c>
      <c r="Y17">
        <v>4.2000000000000003E-2</v>
      </c>
      <c r="Z17">
        <v>2857.1428571428569</v>
      </c>
      <c r="AA17">
        <v>10.695183985712411</v>
      </c>
      <c r="AB17">
        <v>7.1301226571416088</v>
      </c>
      <c r="AC17">
        <v>17.82530664285402</v>
      </c>
      <c r="AD17">
        <v>12.97922231021659</v>
      </c>
      <c r="AE17">
        <v>8.6528148734777286</v>
      </c>
      <c r="AF17">
        <v>21.632037183694319</v>
      </c>
      <c r="AG17">
        <v>5.4935611125903199</v>
      </c>
      <c r="AH17">
        <v>3.6623740750602138</v>
      </c>
      <c r="AI17">
        <v>9.1559351876505346</v>
      </c>
      <c r="AJ17">
        <v>118.07336116942452</v>
      </c>
      <c r="AK17">
        <v>78.715574112949682</v>
      </c>
      <c r="AL17">
        <v>196.78893528237421</v>
      </c>
      <c r="AP17">
        <v>6.0144984071618559</v>
      </c>
      <c r="AQ17">
        <v>4.0096656047745709</v>
      </c>
      <c r="AR17">
        <v>10.024164011936426</v>
      </c>
      <c r="AS17">
        <v>2.1674690482342586E-3</v>
      </c>
      <c r="AT17">
        <v>1.4449793654895062E-3</v>
      </c>
      <c r="AU17">
        <v>3.6124484137237648E-3</v>
      </c>
      <c r="BC17" t="s">
        <v>15</v>
      </c>
    </row>
    <row r="18" spans="1:55" x14ac:dyDescent="0.45">
      <c r="A18" t="s">
        <v>87</v>
      </c>
      <c r="B18" t="s">
        <v>311</v>
      </c>
      <c r="C18" t="s">
        <v>386</v>
      </c>
      <c r="D18" t="s">
        <v>312</v>
      </c>
      <c r="E18" t="s">
        <v>97</v>
      </c>
      <c r="F18" t="s">
        <v>310</v>
      </c>
      <c r="G18" t="s">
        <v>252</v>
      </c>
      <c r="H18" t="s">
        <v>225</v>
      </c>
      <c r="I18">
        <v>15</v>
      </c>
      <c r="J18">
        <v>15</v>
      </c>
      <c r="K18">
        <v>15</v>
      </c>
      <c r="L18">
        <v>1</v>
      </c>
      <c r="N18">
        <v>0.02</v>
      </c>
      <c r="O18">
        <v>0.02</v>
      </c>
      <c r="P18">
        <v>0.02</v>
      </c>
      <c r="Q18">
        <v>15.75</v>
      </c>
      <c r="R18">
        <v>15.75</v>
      </c>
      <c r="S18">
        <v>15.75</v>
      </c>
      <c r="T18" t="s">
        <v>226</v>
      </c>
      <c r="U18" t="s">
        <v>381</v>
      </c>
      <c r="V18" t="s">
        <v>382</v>
      </c>
      <c r="W18" t="s">
        <v>365</v>
      </c>
      <c r="X18" t="s">
        <v>365</v>
      </c>
      <c r="Y18">
        <v>1</v>
      </c>
      <c r="Z18">
        <v>15</v>
      </c>
      <c r="AA18">
        <v>19.102641975961582</v>
      </c>
      <c r="AB18">
        <v>19.102641975961582</v>
      </c>
      <c r="AC18">
        <v>19.102641975961582</v>
      </c>
      <c r="AD18">
        <v>19.894952377912816</v>
      </c>
      <c r="AE18">
        <v>19.894952377912816</v>
      </c>
      <c r="AF18">
        <v>19.894952377912816</v>
      </c>
      <c r="AG18">
        <v>1.8596920563101473</v>
      </c>
      <c r="AH18">
        <v>1.8596920563101473</v>
      </c>
      <c r="AI18">
        <v>1.8596920563101473</v>
      </c>
      <c r="AJ18">
        <v>26.945451563913227</v>
      </c>
      <c r="AK18">
        <v>26.945451563913227</v>
      </c>
      <c r="AL18">
        <v>26.945451563913227</v>
      </c>
      <c r="AP18">
        <v>1.9586296940800589</v>
      </c>
      <c r="AQ18">
        <v>1.9586296940800589</v>
      </c>
      <c r="AR18">
        <v>1.9586296940800589</v>
      </c>
      <c r="AS18">
        <v>1.0580831622736952E-3</v>
      </c>
      <c r="AT18">
        <v>1.0580831622736952E-3</v>
      </c>
      <c r="AU18">
        <v>1.0580831622736952E-3</v>
      </c>
      <c r="BC18" t="s">
        <v>15</v>
      </c>
    </row>
    <row r="19" spans="1:55" x14ac:dyDescent="0.45">
      <c r="A19" t="s">
        <v>87</v>
      </c>
      <c r="B19" t="s">
        <v>311</v>
      </c>
      <c r="C19" t="s">
        <v>386</v>
      </c>
      <c r="D19" t="s">
        <v>312</v>
      </c>
      <c r="E19" t="s">
        <v>97</v>
      </c>
      <c r="F19" t="s">
        <v>328</v>
      </c>
      <c r="G19" t="s">
        <v>266</v>
      </c>
      <c r="H19" t="s">
        <v>225</v>
      </c>
      <c r="I19">
        <v>240</v>
      </c>
      <c r="J19">
        <v>240</v>
      </c>
      <c r="K19">
        <v>240</v>
      </c>
      <c r="L19">
        <v>1</v>
      </c>
      <c r="N19">
        <v>0.24</v>
      </c>
      <c r="O19">
        <v>0.24</v>
      </c>
      <c r="P19">
        <v>0.24</v>
      </c>
      <c r="Q19">
        <v>138</v>
      </c>
      <c r="R19">
        <v>138</v>
      </c>
      <c r="S19">
        <v>138</v>
      </c>
      <c r="T19" t="s">
        <v>389</v>
      </c>
      <c r="U19" t="s">
        <v>390</v>
      </c>
      <c r="V19" t="s">
        <v>391</v>
      </c>
      <c r="W19" t="s">
        <v>365</v>
      </c>
      <c r="X19" t="s">
        <v>365</v>
      </c>
      <c r="Y19">
        <v>1.1000000000000001</v>
      </c>
      <c r="Z19">
        <v>218.18181818181816</v>
      </c>
      <c r="AA19">
        <v>208.37308201480639</v>
      </c>
      <c r="AB19">
        <v>208.37308201480639</v>
      </c>
      <c r="AC19">
        <v>208.37308201480639</v>
      </c>
      <c r="AD19">
        <v>454.73860772828544</v>
      </c>
      <c r="AE19">
        <v>454.73860772828544</v>
      </c>
      <c r="AF19">
        <v>454.73860772828544</v>
      </c>
      <c r="AG19">
        <v>33.459580284616145</v>
      </c>
      <c r="AH19">
        <v>33.459580284616145</v>
      </c>
      <c r="AI19">
        <v>33.459580284616145</v>
      </c>
      <c r="AJ19">
        <v>369.70430638014756</v>
      </c>
      <c r="AK19">
        <v>369.70430638014756</v>
      </c>
      <c r="AL19">
        <v>369.70430638014756</v>
      </c>
      <c r="AP19">
        <v>3.4691369163803656</v>
      </c>
      <c r="AQ19">
        <v>3.4691369163803656</v>
      </c>
      <c r="AR19">
        <v>3.4691369163803656</v>
      </c>
      <c r="AS19">
        <v>1.1696495000328577E-2</v>
      </c>
      <c r="AT19">
        <v>1.1696495000328577E-2</v>
      </c>
      <c r="AU19">
        <v>1.1696495000328577E-2</v>
      </c>
      <c r="BC19" t="s">
        <v>15</v>
      </c>
    </row>
    <row r="20" spans="1:55" x14ac:dyDescent="0.45">
      <c r="A20" t="s">
        <v>87</v>
      </c>
      <c r="B20" t="s">
        <v>308</v>
      </c>
      <c r="C20" t="s">
        <v>362</v>
      </c>
      <c r="D20" t="s">
        <v>313</v>
      </c>
      <c r="E20" t="s">
        <v>93</v>
      </c>
      <c r="F20" t="s">
        <v>310</v>
      </c>
      <c r="G20" t="s">
        <v>252</v>
      </c>
      <c r="H20" t="s">
        <v>225</v>
      </c>
      <c r="I20">
        <v>15</v>
      </c>
      <c r="J20">
        <v>15</v>
      </c>
      <c r="K20">
        <v>15</v>
      </c>
      <c r="L20">
        <v>1</v>
      </c>
      <c r="N20">
        <v>0.02</v>
      </c>
      <c r="O20">
        <v>0.02</v>
      </c>
      <c r="P20">
        <v>0.02</v>
      </c>
      <c r="Q20">
        <v>15.75</v>
      </c>
      <c r="R20">
        <v>15.75</v>
      </c>
      <c r="S20">
        <v>15.75</v>
      </c>
      <c r="T20" t="s">
        <v>378</v>
      </c>
      <c r="U20" t="s">
        <v>381</v>
      </c>
      <c r="V20" t="s">
        <v>382</v>
      </c>
      <c r="W20" t="s">
        <v>365</v>
      </c>
      <c r="X20" t="s">
        <v>365</v>
      </c>
      <c r="Y20">
        <v>1</v>
      </c>
      <c r="Z20">
        <v>15</v>
      </c>
      <c r="AA20">
        <v>19.102641975961582</v>
      </c>
      <c r="AB20">
        <v>19.102641975961582</v>
      </c>
      <c r="AC20">
        <v>19.102641975961582</v>
      </c>
      <c r="AD20">
        <v>19.894952377912816</v>
      </c>
      <c r="AE20">
        <v>19.894952377912816</v>
      </c>
      <c r="AF20">
        <v>19.894952377912816</v>
      </c>
      <c r="AG20">
        <v>1.8596920563101473</v>
      </c>
      <c r="AH20">
        <v>1.8596920563101473</v>
      </c>
      <c r="AI20">
        <v>1.8596920563101473</v>
      </c>
      <c r="AJ20">
        <v>26.945451563913227</v>
      </c>
      <c r="AK20">
        <v>26.945451563913227</v>
      </c>
      <c r="AL20">
        <v>26.945451563913227</v>
      </c>
      <c r="AP20">
        <v>1.9586296940800589</v>
      </c>
      <c r="AQ20">
        <v>1.9586296940800589</v>
      </c>
      <c r="AR20">
        <v>1.9586296940800589</v>
      </c>
      <c r="AS20">
        <v>1.0580831622736952E-3</v>
      </c>
      <c r="AT20">
        <v>1.0580831622736952E-3</v>
      </c>
      <c r="AU20">
        <v>1.0580831622736952E-3</v>
      </c>
      <c r="BC20" t="s">
        <v>15</v>
      </c>
    </row>
    <row r="21" spans="1:55" x14ac:dyDescent="0.45">
      <c r="A21" t="s">
        <v>87</v>
      </c>
      <c r="B21" t="s">
        <v>308</v>
      </c>
      <c r="C21" t="s">
        <v>362</v>
      </c>
      <c r="D21" t="s">
        <v>313</v>
      </c>
      <c r="E21" t="s">
        <v>93</v>
      </c>
      <c r="F21" t="s">
        <v>324</v>
      </c>
      <c r="G21" t="s">
        <v>240</v>
      </c>
      <c r="H21" t="s">
        <v>225</v>
      </c>
      <c r="I21">
        <v>12.5</v>
      </c>
      <c r="J21">
        <v>12.5</v>
      </c>
      <c r="K21">
        <v>12.5</v>
      </c>
      <c r="L21">
        <v>1</v>
      </c>
      <c r="N21">
        <v>0.01</v>
      </c>
      <c r="O21">
        <v>0.01</v>
      </c>
      <c r="P21">
        <v>0.01</v>
      </c>
      <c r="Q21">
        <v>10</v>
      </c>
      <c r="R21">
        <v>10</v>
      </c>
      <c r="S21">
        <v>10</v>
      </c>
      <c r="T21" t="s">
        <v>252</v>
      </c>
      <c r="U21" t="s">
        <v>392</v>
      </c>
      <c r="V21" t="s">
        <v>393</v>
      </c>
      <c r="W21" t="s">
        <v>394</v>
      </c>
      <c r="X21" t="s">
        <v>365</v>
      </c>
      <c r="Y21">
        <v>0.2</v>
      </c>
      <c r="Z21">
        <v>62.5</v>
      </c>
      <c r="AA21">
        <v>9.6885190926662101</v>
      </c>
      <c r="AB21">
        <v>9.6885190926662101</v>
      </c>
      <c r="AC21">
        <v>9.6885190926662101</v>
      </c>
      <c r="AD21">
        <v>10.504992021872901</v>
      </c>
      <c r="AE21">
        <v>10.504992021872901</v>
      </c>
      <c r="AF21">
        <v>10.504992021872901</v>
      </c>
      <c r="AG21">
        <v>2.5140556386449697</v>
      </c>
      <c r="AH21">
        <v>2.5140556386449697</v>
      </c>
      <c r="AI21">
        <v>2.5140556386449697</v>
      </c>
      <c r="AJ21">
        <v>38.560990916917703</v>
      </c>
      <c r="AK21">
        <v>38.560990916917703</v>
      </c>
      <c r="AL21">
        <v>38.560990916917703</v>
      </c>
      <c r="AP21">
        <v>1.2506783392176499</v>
      </c>
      <c r="AQ21">
        <v>1.2506783392176499</v>
      </c>
      <c r="AR21">
        <v>1.2506783392176499</v>
      </c>
      <c r="AS21">
        <v>8.7990794098609262E-4</v>
      </c>
      <c r="AT21">
        <v>8.7990794098609262E-4</v>
      </c>
      <c r="AU21">
        <v>8.7990794098609262E-4</v>
      </c>
      <c r="BC21" t="s">
        <v>15</v>
      </c>
    </row>
    <row r="22" spans="1:55" x14ac:dyDescent="0.45">
      <c r="A22" t="s">
        <v>87</v>
      </c>
      <c r="B22" t="s">
        <v>308</v>
      </c>
      <c r="C22" t="s">
        <v>362</v>
      </c>
      <c r="D22" t="s">
        <v>313</v>
      </c>
      <c r="E22" t="s">
        <v>93</v>
      </c>
      <c r="F22" t="s">
        <v>333</v>
      </c>
      <c r="G22" t="s">
        <v>271</v>
      </c>
      <c r="H22" t="s">
        <v>228</v>
      </c>
      <c r="I22">
        <v>175</v>
      </c>
      <c r="J22">
        <v>135</v>
      </c>
      <c r="K22">
        <v>255</v>
      </c>
      <c r="L22">
        <v>1</v>
      </c>
      <c r="N22">
        <v>0.18</v>
      </c>
      <c r="O22">
        <v>0.14000000000000001</v>
      </c>
      <c r="P22">
        <v>0.26</v>
      </c>
      <c r="Q22">
        <v>6.65</v>
      </c>
      <c r="R22">
        <v>5.13</v>
      </c>
      <c r="S22">
        <v>9.69</v>
      </c>
      <c r="T22" t="s">
        <v>383</v>
      </c>
      <c r="U22" t="s">
        <v>395</v>
      </c>
      <c r="V22" t="s">
        <v>396</v>
      </c>
      <c r="W22" t="s">
        <v>365</v>
      </c>
      <c r="X22" t="s">
        <v>365</v>
      </c>
      <c r="Y22">
        <v>4.4999999999999998E-2</v>
      </c>
      <c r="Z22">
        <v>3888.8888888888891</v>
      </c>
      <c r="AA22">
        <v>16.060091964094262</v>
      </c>
      <c r="AB22">
        <v>12.389213800872721</v>
      </c>
      <c r="AC22">
        <v>23.401848290537355</v>
      </c>
      <c r="AD22">
        <v>10.431938828820904</v>
      </c>
      <c r="AE22">
        <v>8.0474956679475564</v>
      </c>
      <c r="AF22">
        <v>15.200825150567605</v>
      </c>
      <c r="AG22">
        <v>6.7629359725212206</v>
      </c>
      <c r="AH22">
        <v>5.2171220359449428</v>
      </c>
      <c r="AI22">
        <v>9.8545638456737787</v>
      </c>
      <c r="AJ22">
        <v>127.73043493029127</v>
      </c>
      <c r="AK22">
        <v>98.534906946224709</v>
      </c>
      <c r="AL22">
        <v>186.12149089842441</v>
      </c>
      <c r="AP22">
        <v>3.1841594973425664</v>
      </c>
      <c r="AQ22">
        <v>2.4563516122356948</v>
      </c>
      <c r="AR22">
        <v>4.6397752675563115</v>
      </c>
      <c r="AS22">
        <v>2.2483079357832675E-3</v>
      </c>
      <c r="AT22">
        <v>1.7344089790328066E-3</v>
      </c>
      <c r="AU22">
        <v>3.2761058492841899E-3</v>
      </c>
      <c r="BC22" t="s">
        <v>15</v>
      </c>
    </row>
    <row r="23" spans="1:55" x14ac:dyDescent="0.45">
      <c r="A23" t="s">
        <v>87</v>
      </c>
      <c r="B23" t="s">
        <v>308</v>
      </c>
      <c r="C23" t="s">
        <v>362</v>
      </c>
      <c r="D23" t="s">
        <v>313</v>
      </c>
      <c r="E23" t="s">
        <v>93</v>
      </c>
      <c r="F23" t="s">
        <v>264</v>
      </c>
      <c r="G23" t="s">
        <v>264</v>
      </c>
      <c r="H23" t="s">
        <v>225</v>
      </c>
      <c r="I23">
        <v>120</v>
      </c>
      <c r="J23">
        <v>120</v>
      </c>
      <c r="K23">
        <v>120</v>
      </c>
      <c r="L23">
        <v>1</v>
      </c>
      <c r="N23">
        <v>0.12</v>
      </c>
      <c r="O23">
        <v>0.12</v>
      </c>
      <c r="P23">
        <v>0.12</v>
      </c>
      <c r="Q23">
        <v>240</v>
      </c>
      <c r="R23">
        <v>240</v>
      </c>
      <c r="S23">
        <v>240</v>
      </c>
      <c r="U23" t="s">
        <v>384</v>
      </c>
      <c r="V23" t="s">
        <v>385</v>
      </c>
      <c r="W23" t="s">
        <v>365</v>
      </c>
      <c r="X23" t="s">
        <v>365</v>
      </c>
      <c r="Y23">
        <v>0.9</v>
      </c>
      <c r="Z23">
        <v>133.33333333333334</v>
      </c>
      <c r="AA23">
        <v>292.28867164452481</v>
      </c>
      <c r="AB23">
        <v>292.28867164452481</v>
      </c>
      <c r="AC23">
        <v>292.28867164452481</v>
      </c>
      <c r="AD23">
        <v>298.90220537355356</v>
      </c>
      <c r="AE23">
        <v>298.90220537355356</v>
      </c>
      <c r="AF23">
        <v>298.90220537355356</v>
      </c>
      <c r="AG23">
        <v>35.541681329985117</v>
      </c>
      <c r="AH23">
        <v>35.541681329985117</v>
      </c>
      <c r="AI23">
        <v>35.541681329985117</v>
      </c>
      <c r="AJ23">
        <v>279.25245963495598</v>
      </c>
      <c r="AK23">
        <v>279.25245963495598</v>
      </c>
      <c r="AL23">
        <v>279.25245963495598</v>
      </c>
      <c r="AP23">
        <v>15.213275691000359</v>
      </c>
      <c r="AQ23">
        <v>15.213275691000359</v>
      </c>
      <c r="AR23">
        <v>15.213275691000359</v>
      </c>
      <c r="AS23">
        <v>1.4578515020017032E-2</v>
      </c>
      <c r="AT23">
        <v>1.4578515020017032E-2</v>
      </c>
      <c r="AU23">
        <v>1.4578515020017032E-2</v>
      </c>
      <c r="BC23" t="s">
        <v>15</v>
      </c>
    </row>
    <row r="24" spans="1:55" x14ac:dyDescent="0.45">
      <c r="A24" t="s">
        <v>87</v>
      </c>
      <c r="B24" t="s">
        <v>308</v>
      </c>
      <c r="C24" t="s">
        <v>397</v>
      </c>
      <c r="D24" t="s">
        <v>314</v>
      </c>
      <c r="E24" t="s">
        <v>96</v>
      </c>
      <c r="F24" t="s">
        <v>310</v>
      </c>
      <c r="G24" t="s">
        <v>252</v>
      </c>
      <c r="H24" t="s">
        <v>225</v>
      </c>
      <c r="I24">
        <v>15</v>
      </c>
      <c r="J24">
        <v>15</v>
      </c>
      <c r="K24">
        <v>15</v>
      </c>
      <c r="L24">
        <v>1</v>
      </c>
      <c r="N24">
        <v>0.02</v>
      </c>
      <c r="O24">
        <v>0.02</v>
      </c>
      <c r="P24">
        <v>0.02</v>
      </c>
      <c r="Q24">
        <v>15.75</v>
      </c>
      <c r="R24">
        <v>15.75</v>
      </c>
      <c r="S24">
        <v>15.75</v>
      </c>
      <c r="U24" t="s">
        <v>381</v>
      </c>
      <c r="V24" t="s">
        <v>382</v>
      </c>
      <c r="W24" t="s">
        <v>365</v>
      </c>
      <c r="X24" t="s">
        <v>365</v>
      </c>
      <c r="Y24">
        <v>1</v>
      </c>
      <c r="Z24">
        <v>15</v>
      </c>
      <c r="AA24">
        <v>19.102641975961582</v>
      </c>
      <c r="AB24">
        <v>19.102641975961582</v>
      </c>
      <c r="AC24">
        <v>19.102641975961582</v>
      </c>
      <c r="AD24">
        <v>19.894952377912816</v>
      </c>
      <c r="AE24">
        <v>19.894952377912816</v>
      </c>
      <c r="AF24">
        <v>19.894952377912816</v>
      </c>
      <c r="AG24">
        <v>1.8596920563101473</v>
      </c>
      <c r="AH24">
        <v>1.8596920563101473</v>
      </c>
      <c r="AI24">
        <v>1.8596920563101473</v>
      </c>
      <c r="AJ24">
        <v>26.945451563913227</v>
      </c>
      <c r="AK24">
        <v>26.945451563913227</v>
      </c>
      <c r="AL24">
        <v>26.945451563913227</v>
      </c>
      <c r="AP24">
        <v>1.9586296940800589</v>
      </c>
      <c r="AQ24">
        <v>1.9586296940800589</v>
      </c>
      <c r="AR24">
        <v>1.9586296940800589</v>
      </c>
      <c r="AS24">
        <v>1.0580831622736952E-3</v>
      </c>
      <c r="AT24">
        <v>1.0580831622736952E-3</v>
      </c>
      <c r="AU24">
        <v>1.0580831622736952E-3</v>
      </c>
      <c r="BC24" t="s">
        <v>15</v>
      </c>
    </row>
    <row r="25" spans="1:55" x14ac:dyDescent="0.45">
      <c r="A25" t="s">
        <v>87</v>
      </c>
      <c r="B25" t="s">
        <v>308</v>
      </c>
      <c r="C25" t="s">
        <v>397</v>
      </c>
      <c r="D25" t="s">
        <v>314</v>
      </c>
      <c r="E25" t="s">
        <v>96</v>
      </c>
      <c r="F25" t="s">
        <v>324</v>
      </c>
      <c r="G25" t="s">
        <v>240</v>
      </c>
      <c r="H25" t="s">
        <v>225</v>
      </c>
      <c r="I25">
        <v>12.5</v>
      </c>
      <c r="J25">
        <v>12.5</v>
      </c>
      <c r="K25">
        <v>12.5</v>
      </c>
      <c r="L25">
        <v>1</v>
      </c>
      <c r="N25">
        <v>0.01</v>
      </c>
      <c r="O25">
        <v>0.01</v>
      </c>
      <c r="P25">
        <v>0.01</v>
      </c>
      <c r="Q25">
        <v>10</v>
      </c>
      <c r="R25">
        <v>10</v>
      </c>
      <c r="S25">
        <v>10</v>
      </c>
      <c r="U25" t="s">
        <v>392</v>
      </c>
      <c r="V25" t="s">
        <v>393</v>
      </c>
      <c r="W25" t="s">
        <v>394</v>
      </c>
      <c r="X25" t="s">
        <v>365</v>
      </c>
      <c r="Y25">
        <v>0.2</v>
      </c>
      <c r="Z25">
        <v>62.5</v>
      </c>
      <c r="AA25">
        <v>9.6885190926662101</v>
      </c>
      <c r="AB25">
        <v>9.6885190926662101</v>
      </c>
      <c r="AC25">
        <v>9.6885190926662101</v>
      </c>
      <c r="AD25">
        <v>10.504992021872901</v>
      </c>
      <c r="AE25">
        <v>10.504992021872901</v>
      </c>
      <c r="AF25">
        <v>10.504992021872901</v>
      </c>
      <c r="AG25">
        <v>2.5140556386449697</v>
      </c>
      <c r="AH25">
        <v>2.5140556386449697</v>
      </c>
      <c r="AI25">
        <v>2.5140556386449697</v>
      </c>
      <c r="AJ25">
        <v>38.560990916917703</v>
      </c>
      <c r="AK25">
        <v>38.560990916917703</v>
      </c>
      <c r="AL25">
        <v>38.560990916917703</v>
      </c>
      <c r="AP25">
        <v>1.2506783392176499</v>
      </c>
      <c r="AQ25">
        <v>1.2506783392176499</v>
      </c>
      <c r="AR25">
        <v>1.2506783392176499</v>
      </c>
      <c r="AS25">
        <v>8.7990794098609262E-4</v>
      </c>
      <c r="AT25">
        <v>8.7990794098609262E-4</v>
      </c>
      <c r="AU25">
        <v>8.7990794098609262E-4</v>
      </c>
      <c r="BC25" t="s">
        <v>15</v>
      </c>
    </row>
    <row r="26" spans="1:55" x14ac:dyDescent="0.45">
      <c r="A26" t="s">
        <v>87</v>
      </c>
      <c r="B26" t="s">
        <v>308</v>
      </c>
      <c r="C26" t="s">
        <v>397</v>
      </c>
      <c r="D26" t="s">
        <v>314</v>
      </c>
      <c r="E26" t="s">
        <v>96</v>
      </c>
      <c r="F26" t="s">
        <v>333</v>
      </c>
      <c r="G26" t="s">
        <v>276</v>
      </c>
      <c r="H26" t="s">
        <v>228</v>
      </c>
      <c r="I26">
        <v>120</v>
      </c>
      <c r="J26">
        <v>80</v>
      </c>
      <c r="K26">
        <v>200</v>
      </c>
      <c r="L26">
        <v>1</v>
      </c>
      <c r="N26">
        <v>0.12</v>
      </c>
      <c r="O26">
        <v>0.08</v>
      </c>
      <c r="P26">
        <v>0.2</v>
      </c>
      <c r="Q26">
        <v>9.6</v>
      </c>
      <c r="R26">
        <v>6.4</v>
      </c>
      <c r="S26">
        <v>16</v>
      </c>
      <c r="U26" t="s">
        <v>398</v>
      </c>
      <c r="V26" t="s">
        <v>399</v>
      </c>
      <c r="W26" t="s">
        <v>365</v>
      </c>
      <c r="X26" t="s">
        <v>365</v>
      </c>
      <c r="Y26">
        <v>3.9E-2</v>
      </c>
      <c r="Z26">
        <v>3076.9230769230771</v>
      </c>
      <c r="AA26">
        <v>14.796094396431119</v>
      </c>
      <c r="AB26">
        <v>9.8640629309540806</v>
      </c>
      <c r="AC26">
        <v>24.6601573273852</v>
      </c>
      <c r="AD26">
        <v>18.685303416284039</v>
      </c>
      <c r="AE26">
        <v>12.45686894418936</v>
      </c>
      <c r="AF26">
        <v>31.142172360473399</v>
      </c>
      <c r="AG26">
        <v>6.0111809791005832</v>
      </c>
      <c r="AH26">
        <v>4.0074539860670555</v>
      </c>
      <c r="AI26">
        <v>10.018634965167639</v>
      </c>
      <c r="AJ26">
        <v>94.379216003413674</v>
      </c>
      <c r="AK26">
        <v>62.919477335609123</v>
      </c>
      <c r="AL26">
        <v>157.2986933390228</v>
      </c>
      <c r="AP26">
        <v>0.75341689420370306</v>
      </c>
      <c r="AQ26">
        <v>0.50227792946913541</v>
      </c>
      <c r="AR26">
        <v>1.2556948236728385</v>
      </c>
      <c r="AS26">
        <v>1.692173583008357E-3</v>
      </c>
      <c r="AT26">
        <v>1.1281157220055713E-3</v>
      </c>
      <c r="AU26">
        <v>2.8202893050139283E-3</v>
      </c>
      <c r="BC26" t="s">
        <v>15</v>
      </c>
    </row>
    <row r="27" spans="1:55" x14ac:dyDescent="0.45">
      <c r="A27" t="s">
        <v>87</v>
      </c>
      <c r="B27" t="s">
        <v>308</v>
      </c>
      <c r="C27" t="s">
        <v>397</v>
      </c>
      <c r="D27" t="s">
        <v>314</v>
      </c>
      <c r="E27" t="s">
        <v>96</v>
      </c>
      <c r="F27" t="s">
        <v>264</v>
      </c>
      <c r="G27" t="s">
        <v>264</v>
      </c>
      <c r="H27" t="s">
        <v>225</v>
      </c>
      <c r="I27">
        <v>175</v>
      </c>
      <c r="J27">
        <v>175</v>
      </c>
      <c r="K27">
        <v>175</v>
      </c>
      <c r="L27">
        <v>1</v>
      </c>
      <c r="N27">
        <v>0.18</v>
      </c>
      <c r="O27">
        <v>0.18</v>
      </c>
      <c r="P27">
        <v>0.18</v>
      </c>
      <c r="Q27">
        <v>350</v>
      </c>
      <c r="R27">
        <v>350</v>
      </c>
      <c r="S27">
        <v>350</v>
      </c>
      <c r="U27" t="s">
        <v>384</v>
      </c>
      <c r="V27" t="s">
        <v>385</v>
      </c>
      <c r="W27" t="s">
        <v>365</v>
      </c>
      <c r="X27" t="s">
        <v>365</v>
      </c>
      <c r="Y27">
        <v>0.9</v>
      </c>
      <c r="Z27">
        <v>194.44444444444443</v>
      </c>
      <c r="AA27">
        <v>426.25431281493201</v>
      </c>
      <c r="AB27">
        <v>426.25431281493201</v>
      </c>
      <c r="AC27">
        <v>426.25431281493201</v>
      </c>
      <c r="AD27">
        <v>435.89904950309898</v>
      </c>
      <c r="AE27">
        <v>435.89904950309898</v>
      </c>
      <c r="AF27">
        <v>435.89904950309898</v>
      </c>
      <c r="AG27">
        <v>51.831618606228297</v>
      </c>
      <c r="AH27">
        <v>51.831618606228297</v>
      </c>
      <c r="AI27">
        <v>51.831618606228297</v>
      </c>
      <c r="AJ27">
        <v>407.24317030097745</v>
      </c>
      <c r="AK27">
        <v>407.24317030097745</v>
      </c>
      <c r="AL27">
        <v>407.24317030097745</v>
      </c>
      <c r="AP27">
        <v>22.186027049375522</v>
      </c>
      <c r="AQ27">
        <v>22.186027049375522</v>
      </c>
      <c r="AR27">
        <v>22.186027049375522</v>
      </c>
      <c r="AS27">
        <v>2.1260334404191505E-2</v>
      </c>
      <c r="AT27">
        <v>2.1260334404191505E-2</v>
      </c>
      <c r="AU27">
        <v>2.1260334404191505E-2</v>
      </c>
      <c r="BC27" t="s">
        <v>15</v>
      </c>
    </row>
    <row r="28" spans="1:55" x14ac:dyDescent="0.45">
      <c r="A28" t="s">
        <v>87</v>
      </c>
      <c r="B28" t="s">
        <v>315</v>
      </c>
      <c r="C28" t="s">
        <v>375</v>
      </c>
      <c r="D28" t="s">
        <v>10</v>
      </c>
      <c r="E28" t="s">
        <v>99</v>
      </c>
      <c r="F28" t="s">
        <v>310</v>
      </c>
      <c r="G28" t="s">
        <v>252</v>
      </c>
      <c r="H28" t="s">
        <v>225</v>
      </c>
      <c r="I28">
        <v>15</v>
      </c>
      <c r="J28">
        <v>15</v>
      </c>
      <c r="K28">
        <v>15</v>
      </c>
      <c r="L28">
        <v>1</v>
      </c>
      <c r="N28">
        <v>0.02</v>
      </c>
      <c r="O28">
        <v>0.02</v>
      </c>
      <c r="P28">
        <v>0.02</v>
      </c>
      <c r="Q28">
        <v>15.75</v>
      </c>
      <c r="R28">
        <v>15.75</v>
      </c>
      <c r="S28">
        <v>15.75</v>
      </c>
      <c r="T28" t="s">
        <v>400</v>
      </c>
      <c r="U28" t="s">
        <v>381</v>
      </c>
      <c r="V28" t="s">
        <v>382</v>
      </c>
      <c r="W28" t="s">
        <v>365</v>
      </c>
      <c r="X28" t="s">
        <v>365</v>
      </c>
      <c r="Y28">
        <v>1</v>
      </c>
      <c r="Z28">
        <v>15</v>
      </c>
      <c r="AA28">
        <v>19.102641975961582</v>
      </c>
      <c r="AB28">
        <v>19.102641975961582</v>
      </c>
      <c r="AC28">
        <v>19.102641975961582</v>
      </c>
      <c r="AD28">
        <v>19.894952377912816</v>
      </c>
      <c r="AE28">
        <v>19.894952377912816</v>
      </c>
      <c r="AF28">
        <v>19.894952377912816</v>
      </c>
      <c r="AG28">
        <v>1.8596920563101473</v>
      </c>
      <c r="AH28">
        <v>1.8596920563101473</v>
      </c>
      <c r="AI28">
        <v>1.8596920563101473</v>
      </c>
      <c r="AJ28">
        <v>26.945451563913227</v>
      </c>
      <c r="AK28">
        <v>26.945451563913227</v>
      </c>
      <c r="AL28">
        <v>26.945451563913227</v>
      </c>
      <c r="AP28">
        <v>1.9586296940800589</v>
      </c>
      <c r="AQ28">
        <v>1.9586296940800589</v>
      </c>
      <c r="AR28">
        <v>1.9586296940800589</v>
      </c>
      <c r="AS28">
        <v>1.0580831622736952E-3</v>
      </c>
      <c r="AT28">
        <v>1.0580831622736952E-3</v>
      </c>
      <c r="AU28">
        <v>1.0580831622736952E-3</v>
      </c>
      <c r="BC28" t="s">
        <v>15</v>
      </c>
    </row>
    <row r="29" spans="1:55" x14ac:dyDescent="0.45">
      <c r="A29" t="s">
        <v>87</v>
      </c>
      <c r="B29" t="s">
        <v>315</v>
      </c>
      <c r="C29" t="s">
        <v>375</v>
      </c>
      <c r="D29" t="s">
        <v>10</v>
      </c>
      <c r="E29" t="s">
        <v>99</v>
      </c>
      <c r="F29" t="s">
        <v>265</v>
      </c>
      <c r="G29" t="s">
        <v>265</v>
      </c>
      <c r="H29" t="s">
        <v>225</v>
      </c>
      <c r="I29">
        <v>365</v>
      </c>
      <c r="J29">
        <v>365</v>
      </c>
      <c r="K29">
        <v>365</v>
      </c>
      <c r="L29">
        <v>1</v>
      </c>
      <c r="N29">
        <v>0.36</v>
      </c>
      <c r="O29">
        <v>0.36</v>
      </c>
      <c r="P29">
        <v>0.36</v>
      </c>
      <c r="Q29">
        <v>220.82</v>
      </c>
      <c r="R29">
        <v>220.82</v>
      </c>
      <c r="S29">
        <v>220.82</v>
      </c>
      <c r="T29" t="s">
        <v>401</v>
      </c>
      <c r="U29" t="s">
        <v>402</v>
      </c>
      <c r="V29" t="s">
        <v>403</v>
      </c>
      <c r="W29" t="s">
        <v>365</v>
      </c>
      <c r="X29" t="s">
        <v>365</v>
      </c>
      <c r="Y29">
        <v>1.1000000000000001</v>
      </c>
      <c r="Z29">
        <v>331.81818181818181</v>
      </c>
      <c r="AA29">
        <v>374.41081162336127</v>
      </c>
      <c r="AB29">
        <v>374.41081162336127</v>
      </c>
      <c r="AC29">
        <v>374.41081162336127</v>
      </c>
      <c r="AD29">
        <v>748.80349573453191</v>
      </c>
      <c r="AE29">
        <v>748.80349573453191</v>
      </c>
      <c r="AF29">
        <v>748.80349573453191</v>
      </c>
      <c r="AG29">
        <v>99.187706810579286</v>
      </c>
      <c r="AH29">
        <v>99.187706810579286</v>
      </c>
      <c r="AI29">
        <v>99.187706810579286</v>
      </c>
      <c r="AJ29">
        <v>1332.1204698276194</v>
      </c>
      <c r="AK29">
        <v>1332.1204698276194</v>
      </c>
      <c r="AL29">
        <v>1332.1204698276194</v>
      </c>
      <c r="AP29">
        <v>21.286056114057093</v>
      </c>
      <c r="AQ29">
        <v>21.286056114057093</v>
      </c>
      <c r="AR29">
        <v>21.286056114057093</v>
      </c>
      <c r="AS29">
        <v>3.0666971022193207E-2</v>
      </c>
      <c r="AT29">
        <v>3.0666971022193207E-2</v>
      </c>
      <c r="AU29">
        <v>3.0666971022193207E-2</v>
      </c>
      <c r="BC29" t="s">
        <v>15</v>
      </c>
    </row>
    <row r="30" spans="1:55" x14ac:dyDescent="0.45">
      <c r="A30" t="s">
        <v>87</v>
      </c>
      <c r="B30" t="s">
        <v>316</v>
      </c>
      <c r="C30" t="s">
        <v>404</v>
      </c>
      <c r="D30" t="s">
        <v>312</v>
      </c>
      <c r="E30" t="s">
        <v>101</v>
      </c>
      <c r="F30" t="s">
        <v>331</v>
      </c>
      <c r="G30" t="s">
        <v>227</v>
      </c>
      <c r="H30" t="s">
        <v>228</v>
      </c>
      <c r="I30">
        <v>120</v>
      </c>
      <c r="J30">
        <v>80</v>
      </c>
      <c r="K30">
        <v>200</v>
      </c>
      <c r="L30">
        <v>1</v>
      </c>
      <c r="N30">
        <v>0.12</v>
      </c>
      <c r="O30">
        <v>0.08</v>
      </c>
      <c r="P30">
        <v>0.2</v>
      </c>
      <c r="Q30">
        <v>5.55</v>
      </c>
      <c r="R30">
        <v>3.7</v>
      </c>
      <c r="S30">
        <v>9.25</v>
      </c>
      <c r="T30" t="s">
        <v>227</v>
      </c>
      <c r="U30" t="s">
        <v>387</v>
      </c>
      <c r="V30" t="s">
        <v>388</v>
      </c>
      <c r="W30" t="s">
        <v>365</v>
      </c>
      <c r="X30" t="s">
        <v>365</v>
      </c>
      <c r="Y30">
        <v>4.2000000000000003E-2</v>
      </c>
      <c r="Z30">
        <v>2857.1428571428569</v>
      </c>
      <c r="AA30">
        <v>10.695183985712411</v>
      </c>
      <c r="AB30">
        <v>7.1301226571416088</v>
      </c>
      <c r="AC30">
        <v>17.82530664285402</v>
      </c>
      <c r="AD30">
        <v>12.97922231021659</v>
      </c>
      <c r="AE30">
        <v>8.6528148734777286</v>
      </c>
      <c r="AF30">
        <v>21.632037183694319</v>
      </c>
      <c r="AG30">
        <v>5.4935611125903199</v>
      </c>
      <c r="AH30">
        <v>3.6623740750602138</v>
      </c>
      <c r="AI30">
        <v>9.1559351876505346</v>
      </c>
      <c r="AJ30">
        <v>118.07336116942452</v>
      </c>
      <c r="AK30">
        <v>78.715574112949682</v>
      </c>
      <c r="AL30">
        <v>196.78893528237421</v>
      </c>
      <c r="AP30">
        <v>6.0144984071618559</v>
      </c>
      <c r="AQ30">
        <v>4.0096656047745709</v>
      </c>
      <c r="AR30">
        <v>10.024164011936426</v>
      </c>
      <c r="AS30">
        <v>2.1674690482342586E-3</v>
      </c>
      <c r="AT30">
        <v>1.4449793654895062E-3</v>
      </c>
      <c r="AU30">
        <v>3.6124484137237648E-3</v>
      </c>
      <c r="BC30" t="s">
        <v>15</v>
      </c>
    </row>
    <row r="31" spans="1:55" x14ac:dyDescent="0.45">
      <c r="A31" t="s">
        <v>87</v>
      </c>
      <c r="B31" t="s">
        <v>316</v>
      </c>
      <c r="C31" t="s">
        <v>404</v>
      </c>
      <c r="D31" t="s">
        <v>312</v>
      </c>
      <c r="E31" t="s">
        <v>101</v>
      </c>
      <c r="F31" t="s">
        <v>310</v>
      </c>
      <c r="G31" t="s">
        <v>252</v>
      </c>
      <c r="H31" t="s">
        <v>225</v>
      </c>
      <c r="I31">
        <v>15</v>
      </c>
      <c r="J31">
        <v>15</v>
      </c>
      <c r="K31">
        <v>15</v>
      </c>
      <c r="L31">
        <v>1</v>
      </c>
      <c r="N31">
        <v>0.02</v>
      </c>
      <c r="O31">
        <v>0.02</v>
      </c>
      <c r="P31">
        <v>0.02</v>
      </c>
      <c r="Q31">
        <v>15.75</v>
      </c>
      <c r="R31">
        <v>15.75</v>
      </c>
      <c r="S31">
        <v>15.75</v>
      </c>
      <c r="T31" t="s">
        <v>252</v>
      </c>
      <c r="U31" t="s">
        <v>381</v>
      </c>
      <c r="V31" t="s">
        <v>382</v>
      </c>
      <c r="W31" t="s">
        <v>365</v>
      </c>
      <c r="X31" t="s">
        <v>365</v>
      </c>
      <c r="Y31">
        <v>1</v>
      </c>
      <c r="Z31">
        <v>15</v>
      </c>
      <c r="AA31">
        <v>19.102641975961582</v>
      </c>
      <c r="AB31">
        <v>19.102641975961582</v>
      </c>
      <c r="AC31">
        <v>19.102641975961582</v>
      </c>
      <c r="AD31">
        <v>19.894952377912816</v>
      </c>
      <c r="AE31">
        <v>19.894952377912816</v>
      </c>
      <c r="AF31">
        <v>19.894952377912816</v>
      </c>
      <c r="AG31">
        <v>1.8596920563101473</v>
      </c>
      <c r="AH31">
        <v>1.8596920563101473</v>
      </c>
      <c r="AI31">
        <v>1.8596920563101473</v>
      </c>
      <c r="AJ31">
        <v>26.945451563913227</v>
      </c>
      <c r="AK31">
        <v>26.945451563913227</v>
      </c>
      <c r="AL31">
        <v>26.945451563913227</v>
      </c>
      <c r="AP31">
        <v>1.9586296940800589</v>
      </c>
      <c r="AQ31">
        <v>1.9586296940800589</v>
      </c>
      <c r="AR31">
        <v>1.9586296940800589</v>
      </c>
      <c r="AS31">
        <v>1.0580831622736952E-3</v>
      </c>
      <c r="AT31">
        <v>1.0580831622736952E-3</v>
      </c>
      <c r="AU31">
        <v>1.0580831622736952E-3</v>
      </c>
      <c r="BC31" t="s">
        <v>15</v>
      </c>
    </row>
    <row r="32" spans="1:55" x14ac:dyDescent="0.45">
      <c r="A32" t="s">
        <v>87</v>
      </c>
      <c r="B32" t="s">
        <v>316</v>
      </c>
      <c r="C32" t="s">
        <v>404</v>
      </c>
      <c r="D32" t="s">
        <v>312</v>
      </c>
      <c r="E32" t="s">
        <v>101</v>
      </c>
      <c r="F32" t="s">
        <v>328</v>
      </c>
      <c r="G32" t="s">
        <v>266</v>
      </c>
      <c r="H32" t="s">
        <v>225</v>
      </c>
      <c r="I32">
        <v>240</v>
      </c>
      <c r="J32">
        <v>240</v>
      </c>
      <c r="K32">
        <v>240</v>
      </c>
      <c r="L32">
        <v>1</v>
      </c>
      <c r="N32">
        <v>0.24</v>
      </c>
      <c r="O32">
        <v>0.24</v>
      </c>
      <c r="P32">
        <v>0.24</v>
      </c>
      <c r="Q32">
        <v>138</v>
      </c>
      <c r="R32">
        <v>138</v>
      </c>
      <c r="S32">
        <v>138</v>
      </c>
      <c r="T32" t="s">
        <v>226</v>
      </c>
      <c r="U32" t="s">
        <v>390</v>
      </c>
      <c r="V32" t="s">
        <v>391</v>
      </c>
      <c r="W32" t="s">
        <v>365</v>
      </c>
      <c r="X32" t="s">
        <v>365</v>
      </c>
      <c r="Y32">
        <v>1.1000000000000001</v>
      </c>
      <c r="Z32">
        <v>218.18181818181816</v>
      </c>
      <c r="AA32">
        <v>208.37308201480639</v>
      </c>
      <c r="AB32">
        <v>208.37308201480639</v>
      </c>
      <c r="AC32">
        <v>208.37308201480639</v>
      </c>
      <c r="AD32">
        <v>454.73860772828544</v>
      </c>
      <c r="AE32">
        <v>454.73860772828544</v>
      </c>
      <c r="AF32">
        <v>454.73860772828544</v>
      </c>
      <c r="AG32">
        <v>33.459580284616145</v>
      </c>
      <c r="AH32">
        <v>33.459580284616145</v>
      </c>
      <c r="AI32">
        <v>33.459580284616145</v>
      </c>
      <c r="AJ32">
        <v>369.70430638014756</v>
      </c>
      <c r="AK32">
        <v>369.70430638014756</v>
      </c>
      <c r="AL32">
        <v>369.70430638014756</v>
      </c>
      <c r="AP32">
        <v>3.4691369163803656</v>
      </c>
      <c r="AQ32">
        <v>3.4691369163803656</v>
      </c>
      <c r="AR32">
        <v>3.4691369163803656</v>
      </c>
      <c r="AS32">
        <v>1.1696495000328577E-2</v>
      </c>
      <c r="AT32">
        <v>1.1696495000328577E-2</v>
      </c>
      <c r="AU32">
        <v>1.1696495000328577E-2</v>
      </c>
      <c r="BC32" t="s">
        <v>15</v>
      </c>
    </row>
    <row r="33" spans="1:55" x14ac:dyDescent="0.45">
      <c r="A33" t="s">
        <v>87</v>
      </c>
      <c r="B33" t="s">
        <v>316</v>
      </c>
      <c r="C33" t="s">
        <v>404</v>
      </c>
      <c r="D33" t="s">
        <v>312</v>
      </c>
      <c r="E33" t="s">
        <v>101</v>
      </c>
      <c r="F33" t="s">
        <v>330</v>
      </c>
      <c r="G33" t="s">
        <v>267</v>
      </c>
      <c r="H33" t="s">
        <v>225</v>
      </c>
      <c r="I33">
        <v>120</v>
      </c>
      <c r="J33">
        <v>120</v>
      </c>
      <c r="K33">
        <v>120</v>
      </c>
      <c r="L33">
        <v>1</v>
      </c>
      <c r="N33">
        <v>0.12</v>
      </c>
      <c r="O33">
        <v>0.12</v>
      </c>
      <c r="P33">
        <v>0.12</v>
      </c>
      <c r="Q33">
        <v>216</v>
      </c>
      <c r="R33">
        <v>216</v>
      </c>
      <c r="S33">
        <v>216</v>
      </c>
      <c r="T33" t="s">
        <v>226</v>
      </c>
      <c r="U33" t="s">
        <v>405</v>
      </c>
      <c r="V33" t="s">
        <v>406</v>
      </c>
      <c r="W33" t="s">
        <v>365</v>
      </c>
      <c r="X33" t="s">
        <v>365</v>
      </c>
      <c r="Y33">
        <v>1.1000000000000001</v>
      </c>
      <c r="Z33">
        <v>109.09090909090908</v>
      </c>
      <c r="AA33">
        <v>332.79054650941396</v>
      </c>
      <c r="AB33">
        <v>332.79054650941396</v>
      </c>
      <c r="AC33">
        <v>332.79054650941396</v>
      </c>
      <c r="AD33">
        <v>719.97574650528747</v>
      </c>
      <c r="AE33">
        <v>719.97574650528747</v>
      </c>
      <c r="AF33">
        <v>719.97574650528747</v>
      </c>
      <c r="AG33">
        <v>76.702953942135437</v>
      </c>
      <c r="AH33">
        <v>76.702953942135437</v>
      </c>
      <c r="AI33">
        <v>76.702953942135437</v>
      </c>
      <c r="AJ33">
        <v>838.67953622181267</v>
      </c>
      <c r="AK33">
        <v>838.67953622181267</v>
      </c>
      <c r="AL33">
        <v>838.67953622181267</v>
      </c>
      <c r="AP33">
        <v>7.8451483625078904</v>
      </c>
      <c r="AQ33">
        <v>7.8451483625078904</v>
      </c>
      <c r="AR33">
        <v>7.8451483625078904</v>
      </c>
      <c r="AS33">
        <v>2.2771098142268676E-2</v>
      </c>
      <c r="AT33">
        <v>2.2771098142268676E-2</v>
      </c>
      <c r="AU33">
        <v>2.2771098142268676E-2</v>
      </c>
      <c r="BC33" t="s">
        <v>15</v>
      </c>
    </row>
    <row r="34" spans="1:55" x14ac:dyDescent="0.45">
      <c r="A34" t="s">
        <v>87</v>
      </c>
      <c r="B34" t="s">
        <v>325</v>
      </c>
      <c r="C34" t="s">
        <v>407</v>
      </c>
      <c r="D34" t="s">
        <v>312</v>
      </c>
      <c r="E34" t="s">
        <v>102</v>
      </c>
      <c r="F34" t="s">
        <v>324</v>
      </c>
      <c r="G34" t="s">
        <v>240</v>
      </c>
      <c r="H34" t="s">
        <v>225</v>
      </c>
      <c r="I34">
        <v>12.5</v>
      </c>
      <c r="J34">
        <v>12.5</v>
      </c>
      <c r="K34">
        <v>12.5</v>
      </c>
      <c r="L34">
        <v>1</v>
      </c>
      <c r="N34">
        <v>0.01</v>
      </c>
      <c r="O34">
        <v>0.01</v>
      </c>
      <c r="P34">
        <v>0.01</v>
      </c>
      <c r="Q34">
        <v>10</v>
      </c>
      <c r="R34">
        <v>10</v>
      </c>
      <c r="S34">
        <v>10</v>
      </c>
      <c r="T34" t="s">
        <v>226</v>
      </c>
      <c r="U34" t="s">
        <v>392</v>
      </c>
      <c r="V34" t="s">
        <v>393</v>
      </c>
      <c r="W34" t="s">
        <v>394</v>
      </c>
      <c r="X34" t="s">
        <v>365</v>
      </c>
      <c r="Y34">
        <v>0.2</v>
      </c>
      <c r="Z34">
        <v>62.5</v>
      </c>
      <c r="AA34">
        <v>9.6885190926662101</v>
      </c>
      <c r="AB34">
        <v>9.6885190926662101</v>
      </c>
      <c r="AC34">
        <v>9.6885190926662101</v>
      </c>
      <c r="AD34">
        <v>10.504992021872901</v>
      </c>
      <c r="AE34">
        <v>10.504992021872901</v>
      </c>
      <c r="AF34">
        <v>10.504992021872901</v>
      </c>
      <c r="AG34">
        <v>2.5140556386449697</v>
      </c>
      <c r="AH34">
        <v>2.5140556386449697</v>
      </c>
      <c r="AI34">
        <v>2.5140556386449697</v>
      </c>
      <c r="AJ34">
        <v>38.560990916917703</v>
      </c>
      <c r="AK34">
        <v>38.560990916917703</v>
      </c>
      <c r="AL34">
        <v>38.560990916917703</v>
      </c>
      <c r="AP34">
        <v>1.2506783392176499</v>
      </c>
      <c r="AQ34">
        <v>1.2506783392176499</v>
      </c>
      <c r="AR34">
        <v>1.2506783392176499</v>
      </c>
      <c r="AS34">
        <v>8.7990794098609262E-4</v>
      </c>
      <c r="AT34">
        <v>8.7990794098609262E-4</v>
      </c>
      <c r="AU34">
        <v>8.7990794098609262E-4</v>
      </c>
      <c r="BC34" t="s">
        <v>15</v>
      </c>
    </row>
    <row r="35" spans="1:55" x14ac:dyDescent="0.45">
      <c r="A35" t="s">
        <v>87</v>
      </c>
      <c r="B35" t="s">
        <v>325</v>
      </c>
      <c r="C35" t="s">
        <v>407</v>
      </c>
      <c r="D35" t="s">
        <v>312</v>
      </c>
      <c r="E35" t="s">
        <v>102</v>
      </c>
      <c r="F35" t="s">
        <v>334</v>
      </c>
      <c r="G35" t="s">
        <v>272</v>
      </c>
      <c r="H35" t="s">
        <v>225</v>
      </c>
      <c r="I35">
        <v>18</v>
      </c>
      <c r="J35">
        <v>18</v>
      </c>
      <c r="K35">
        <v>18</v>
      </c>
      <c r="L35">
        <v>1</v>
      </c>
      <c r="N35">
        <v>0.02</v>
      </c>
      <c r="O35">
        <v>0.02</v>
      </c>
      <c r="P35">
        <v>0.02</v>
      </c>
      <c r="Q35">
        <v>2.71</v>
      </c>
      <c r="R35">
        <v>2.71</v>
      </c>
      <c r="S35">
        <v>2.71</v>
      </c>
      <c r="T35" t="s">
        <v>226</v>
      </c>
      <c r="U35" t="s">
        <v>408</v>
      </c>
      <c r="V35" t="s">
        <v>409</v>
      </c>
      <c r="W35" t="s">
        <v>365</v>
      </c>
      <c r="X35" t="s">
        <v>365</v>
      </c>
      <c r="Y35">
        <v>3.2000000000000001E-2</v>
      </c>
      <c r="Z35">
        <v>562.5</v>
      </c>
      <c r="AA35">
        <v>4.2322772641023754</v>
      </c>
      <c r="AB35">
        <v>4.2322772641023754</v>
      </c>
      <c r="AC35">
        <v>4.2322772641023754</v>
      </c>
      <c r="AD35">
        <v>5.0878934799802336</v>
      </c>
      <c r="AE35">
        <v>5.0878934799802336</v>
      </c>
      <c r="AF35">
        <v>5.0878934799802336</v>
      </c>
      <c r="AG35">
        <v>2.5463115040641155</v>
      </c>
      <c r="AH35">
        <v>2.5463115040641155</v>
      </c>
      <c r="AI35">
        <v>2.5463115040641155</v>
      </c>
      <c r="AJ35">
        <v>43.32657921182188</v>
      </c>
      <c r="AK35">
        <v>43.32657921182188</v>
      </c>
      <c r="AL35">
        <v>43.32657921182188</v>
      </c>
      <c r="AP35">
        <v>1.7389461468424889</v>
      </c>
      <c r="AQ35">
        <v>1.7389461468424889</v>
      </c>
      <c r="AR35">
        <v>1.7389461468424889</v>
      </c>
      <c r="AS35">
        <v>8.1057937491179309E-4</v>
      </c>
      <c r="AT35">
        <v>8.1057937491179309E-4</v>
      </c>
      <c r="AU35">
        <v>8.1057937491179309E-4</v>
      </c>
      <c r="BC35" t="s">
        <v>15</v>
      </c>
    </row>
    <row r="36" spans="1:55" x14ac:dyDescent="0.45">
      <c r="A36" t="s">
        <v>87</v>
      </c>
      <c r="B36" t="s">
        <v>325</v>
      </c>
      <c r="C36" t="s">
        <v>410</v>
      </c>
      <c r="D36" t="s">
        <v>275</v>
      </c>
      <c r="E36" t="s">
        <v>103</v>
      </c>
      <c r="F36" t="s">
        <v>324</v>
      </c>
      <c r="G36" t="s">
        <v>240</v>
      </c>
      <c r="H36" t="s">
        <v>225</v>
      </c>
      <c r="I36">
        <v>12.5</v>
      </c>
      <c r="J36">
        <v>12.5</v>
      </c>
      <c r="K36">
        <v>12.5</v>
      </c>
      <c r="L36">
        <v>1</v>
      </c>
      <c r="N36">
        <v>0.01</v>
      </c>
      <c r="O36">
        <v>0.01</v>
      </c>
      <c r="P36">
        <v>0.01</v>
      </c>
      <c r="Q36">
        <v>10</v>
      </c>
      <c r="R36">
        <v>10</v>
      </c>
      <c r="S36">
        <v>10</v>
      </c>
      <c r="T36" t="s">
        <v>226</v>
      </c>
      <c r="U36" t="s">
        <v>392</v>
      </c>
      <c r="V36" t="s">
        <v>393</v>
      </c>
      <c r="W36" t="s">
        <v>394</v>
      </c>
      <c r="X36" t="s">
        <v>365</v>
      </c>
      <c r="Y36">
        <v>0.2</v>
      </c>
      <c r="Z36">
        <v>62.5</v>
      </c>
      <c r="AA36">
        <v>9.6885190926662101</v>
      </c>
      <c r="AB36">
        <v>9.6885190926662101</v>
      </c>
      <c r="AC36">
        <v>9.6885190926662101</v>
      </c>
      <c r="AD36">
        <v>10.504992021872901</v>
      </c>
      <c r="AE36">
        <v>10.504992021872901</v>
      </c>
      <c r="AF36">
        <v>10.504992021872901</v>
      </c>
      <c r="AG36">
        <v>2.5140556386449697</v>
      </c>
      <c r="AH36">
        <v>2.5140556386449697</v>
      </c>
      <c r="AI36">
        <v>2.5140556386449697</v>
      </c>
      <c r="AJ36">
        <v>38.560990916917703</v>
      </c>
      <c r="AK36">
        <v>38.560990916917703</v>
      </c>
      <c r="AL36">
        <v>38.560990916917703</v>
      </c>
      <c r="AP36">
        <v>1.2506783392176499</v>
      </c>
      <c r="AQ36">
        <v>1.2506783392176499</v>
      </c>
      <c r="AR36">
        <v>1.2506783392176499</v>
      </c>
      <c r="AS36">
        <v>8.7990794098609262E-4</v>
      </c>
      <c r="AT36">
        <v>8.7990794098609262E-4</v>
      </c>
      <c r="AU36">
        <v>8.7990794098609262E-4</v>
      </c>
      <c r="BC36" t="s">
        <v>15</v>
      </c>
    </row>
    <row r="37" spans="1:55" x14ac:dyDescent="0.45">
      <c r="A37" t="s">
        <v>87</v>
      </c>
      <c r="B37" t="s">
        <v>325</v>
      </c>
      <c r="C37" t="s">
        <v>410</v>
      </c>
      <c r="D37" t="s">
        <v>275</v>
      </c>
      <c r="E37" t="s">
        <v>103</v>
      </c>
      <c r="F37" t="s">
        <v>334</v>
      </c>
      <c r="G37" t="s">
        <v>272</v>
      </c>
      <c r="H37" t="s">
        <v>225</v>
      </c>
      <c r="I37">
        <v>18</v>
      </c>
      <c r="J37">
        <v>18</v>
      </c>
      <c r="K37">
        <v>18</v>
      </c>
      <c r="L37">
        <v>1</v>
      </c>
      <c r="N37">
        <v>0.02</v>
      </c>
      <c r="O37">
        <v>0.02</v>
      </c>
      <c r="P37">
        <v>0.02</v>
      </c>
      <c r="Q37">
        <v>2.71</v>
      </c>
      <c r="R37">
        <v>2.71</v>
      </c>
      <c r="S37">
        <v>2.71</v>
      </c>
      <c r="T37" t="s">
        <v>226</v>
      </c>
      <c r="U37" t="s">
        <v>408</v>
      </c>
      <c r="V37" t="s">
        <v>409</v>
      </c>
      <c r="W37" t="s">
        <v>365</v>
      </c>
      <c r="X37" t="s">
        <v>365</v>
      </c>
      <c r="Y37">
        <v>3.2000000000000001E-2</v>
      </c>
      <c r="Z37">
        <v>562.5</v>
      </c>
      <c r="AA37">
        <v>4.2322772641023754</v>
      </c>
      <c r="AB37">
        <v>4.2322772641023754</v>
      </c>
      <c r="AC37">
        <v>4.2322772641023754</v>
      </c>
      <c r="AD37">
        <v>5.0878934799802336</v>
      </c>
      <c r="AE37">
        <v>5.0878934799802336</v>
      </c>
      <c r="AF37">
        <v>5.0878934799802336</v>
      </c>
      <c r="AG37">
        <v>2.5463115040641155</v>
      </c>
      <c r="AH37">
        <v>2.5463115040641155</v>
      </c>
      <c r="AI37">
        <v>2.5463115040641155</v>
      </c>
      <c r="AJ37">
        <v>43.32657921182188</v>
      </c>
      <c r="AK37">
        <v>43.32657921182188</v>
      </c>
      <c r="AL37">
        <v>43.32657921182188</v>
      </c>
      <c r="AP37">
        <v>1.7389461468424889</v>
      </c>
      <c r="AQ37">
        <v>1.7389461468424889</v>
      </c>
      <c r="AR37">
        <v>1.7389461468424889</v>
      </c>
      <c r="AS37">
        <v>8.1057937491179309E-4</v>
      </c>
      <c r="AT37">
        <v>8.1057937491179309E-4</v>
      </c>
      <c r="AU37">
        <v>8.1057937491179309E-4</v>
      </c>
      <c r="BC37" t="s">
        <v>15</v>
      </c>
    </row>
    <row r="38" spans="1:55" x14ac:dyDescent="0.45">
      <c r="A38" t="s">
        <v>87</v>
      </c>
      <c r="B38" t="s">
        <v>292</v>
      </c>
      <c r="C38" t="s">
        <v>411</v>
      </c>
      <c r="D38" t="s">
        <v>42</v>
      </c>
      <c r="E38" t="s">
        <v>105</v>
      </c>
      <c r="F38" t="s">
        <v>292</v>
      </c>
      <c r="G38" t="s">
        <v>292</v>
      </c>
      <c r="H38" t="s">
        <v>225</v>
      </c>
      <c r="I38">
        <v>300</v>
      </c>
      <c r="J38">
        <v>300</v>
      </c>
      <c r="K38">
        <v>300</v>
      </c>
      <c r="L38">
        <v>1</v>
      </c>
      <c r="N38">
        <v>0.3</v>
      </c>
      <c r="O38">
        <v>0.3</v>
      </c>
      <c r="P38">
        <v>0.3</v>
      </c>
      <c r="Q38">
        <v>600</v>
      </c>
      <c r="R38">
        <v>600</v>
      </c>
      <c r="S38">
        <v>600</v>
      </c>
      <c r="U38" t="s">
        <v>412</v>
      </c>
      <c r="V38" t="s">
        <v>385</v>
      </c>
      <c r="W38" t="s">
        <v>365</v>
      </c>
      <c r="X38" t="s">
        <v>365</v>
      </c>
      <c r="Y38">
        <v>1.1299999999999999</v>
      </c>
      <c r="Z38">
        <v>265.48672566371681</v>
      </c>
      <c r="AA38">
        <v>651.44287653204594</v>
      </c>
      <c r="AB38">
        <v>651.44287653204594</v>
      </c>
      <c r="AC38">
        <v>651.44287653204594</v>
      </c>
      <c r="AD38">
        <v>1455.4725517806539</v>
      </c>
      <c r="AE38">
        <v>1455.4725517806539</v>
      </c>
      <c r="AF38">
        <v>1455.4725517806539</v>
      </c>
      <c r="AG38">
        <v>18.001926368714638</v>
      </c>
      <c r="AH38">
        <v>18.001926368714638</v>
      </c>
      <c r="AI38">
        <v>18.001926368714638</v>
      </c>
      <c r="AJ38">
        <v>243.10411423212778</v>
      </c>
      <c r="AK38">
        <v>243.10411423212778</v>
      </c>
      <c r="AL38">
        <v>243.10411423212778</v>
      </c>
      <c r="AP38">
        <v>52.359780062062384</v>
      </c>
      <c r="AQ38">
        <v>52.359780062062384</v>
      </c>
      <c r="AR38">
        <v>52.359780062062384</v>
      </c>
      <c r="AS38">
        <v>2.5853116174818922E-2</v>
      </c>
      <c r="AT38">
        <v>2.5853116174818922E-2</v>
      </c>
      <c r="AU38">
        <v>2.5853116174818922E-2</v>
      </c>
      <c r="BC38" t="s">
        <v>15</v>
      </c>
    </row>
    <row r="39" spans="1:55" x14ac:dyDescent="0.45">
      <c r="A39" t="s">
        <v>110</v>
      </c>
      <c r="B39" t="s">
        <v>318</v>
      </c>
      <c r="C39" t="s">
        <v>397</v>
      </c>
      <c r="D39" t="s">
        <v>312</v>
      </c>
      <c r="E39" t="s">
        <v>116</v>
      </c>
      <c r="F39" t="s">
        <v>321</v>
      </c>
      <c r="G39" t="s">
        <v>256</v>
      </c>
      <c r="H39" t="s">
        <v>225</v>
      </c>
      <c r="I39">
        <v>60</v>
      </c>
      <c r="J39">
        <v>60</v>
      </c>
      <c r="K39">
        <v>60</v>
      </c>
      <c r="L39">
        <v>1</v>
      </c>
      <c r="N39">
        <v>0.06</v>
      </c>
      <c r="O39">
        <v>0.06</v>
      </c>
      <c r="P39">
        <v>0.06</v>
      </c>
      <c r="Q39">
        <v>144</v>
      </c>
      <c r="R39">
        <v>144</v>
      </c>
      <c r="S39">
        <v>144</v>
      </c>
      <c r="T39" t="s">
        <v>226</v>
      </c>
      <c r="U39" t="s">
        <v>376</v>
      </c>
      <c r="V39" t="s">
        <v>372</v>
      </c>
      <c r="W39" t="s">
        <v>365</v>
      </c>
      <c r="X39" t="s">
        <v>365</v>
      </c>
      <c r="Y39">
        <v>1.4</v>
      </c>
      <c r="Z39">
        <v>42.857142857142861</v>
      </c>
      <c r="AA39">
        <v>173.7555427006632</v>
      </c>
      <c r="AB39">
        <v>173.7555427006632</v>
      </c>
      <c r="AC39">
        <v>173.7555427006632</v>
      </c>
      <c r="AD39">
        <v>186.23830176138387</v>
      </c>
      <c r="AE39">
        <v>186.23830176138387</v>
      </c>
      <c r="AF39">
        <v>186.23830176138387</v>
      </c>
      <c r="AG39">
        <v>33.484183097839633</v>
      </c>
      <c r="AH39">
        <v>33.484183097839633</v>
      </c>
      <c r="AI39">
        <v>33.484183097839633</v>
      </c>
      <c r="AJ39">
        <v>258.6587129254512</v>
      </c>
      <c r="AK39">
        <v>258.6587129254512</v>
      </c>
      <c r="AL39">
        <v>258.6587129254512</v>
      </c>
      <c r="AP39">
        <v>4.81796323001545</v>
      </c>
      <c r="AQ39">
        <v>4.81796323001545</v>
      </c>
      <c r="AR39">
        <v>4.81796323001545</v>
      </c>
      <c r="AS39">
        <v>1.0077054389940488E-2</v>
      </c>
      <c r="AT39">
        <v>1.0077054389940488E-2</v>
      </c>
      <c r="AU39">
        <v>1.0077054389940488E-2</v>
      </c>
      <c r="BC39" t="s">
        <v>15</v>
      </c>
    </row>
    <row r="40" spans="1:55" x14ac:dyDescent="0.45">
      <c r="A40" t="s">
        <v>110</v>
      </c>
      <c r="B40" t="s">
        <v>318</v>
      </c>
      <c r="C40" t="s">
        <v>397</v>
      </c>
      <c r="D40" t="s">
        <v>312</v>
      </c>
      <c r="E40" t="s">
        <v>116</v>
      </c>
      <c r="F40" t="s">
        <v>319</v>
      </c>
      <c r="G40" t="s">
        <v>282</v>
      </c>
      <c r="H40" t="s">
        <v>225</v>
      </c>
      <c r="I40">
        <v>0.2</v>
      </c>
      <c r="J40">
        <v>0.2</v>
      </c>
      <c r="K40">
        <v>0.2</v>
      </c>
      <c r="L40">
        <v>1</v>
      </c>
      <c r="N40">
        <v>0</v>
      </c>
      <c r="O40">
        <v>0</v>
      </c>
      <c r="P40">
        <v>0</v>
      </c>
      <c r="Q40">
        <v>0.28000000000000003</v>
      </c>
      <c r="R40">
        <v>0.28000000000000003</v>
      </c>
      <c r="S40">
        <v>0.28000000000000003</v>
      </c>
      <c r="T40" t="s">
        <v>226</v>
      </c>
      <c r="U40" t="s">
        <v>366</v>
      </c>
      <c r="V40" t="s">
        <v>367</v>
      </c>
      <c r="W40" t="s">
        <v>368</v>
      </c>
      <c r="X40" t="s">
        <v>365</v>
      </c>
      <c r="Y40">
        <v>0.17</v>
      </c>
      <c r="Z40">
        <v>1.1764705882352942</v>
      </c>
      <c r="AA40">
        <v>0.56566490833487659</v>
      </c>
      <c r="AB40">
        <v>0.56566490833487659</v>
      </c>
      <c r="AC40">
        <v>0.56566490833487659</v>
      </c>
      <c r="AD40">
        <v>0.70605426967153773</v>
      </c>
      <c r="AE40">
        <v>0.70605426967153773</v>
      </c>
      <c r="AF40">
        <v>0.70605426967153773</v>
      </c>
      <c r="AG40">
        <v>0.55327120946390662</v>
      </c>
      <c r="AH40">
        <v>0.55327120946390662</v>
      </c>
      <c r="AI40">
        <v>0.55327120946390662</v>
      </c>
      <c r="AJ40">
        <v>20.491472968565958</v>
      </c>
      <c r="AK40">
        <v>20.491472968565958</v>
      </c>
      <c r="AL40">
        <v>20.491472968565958</v>
      </c>
      <c r="AP40">
        <v>0.28989199614304856</v>
      </c>
      <c r="AQ40">
        <v>0.28989199614304856</v>
      </c>
      <c r="AR40">
        <v>0.28989199614304856</v>
      </c>
      <c r="AS40">
        <v>2.3771240070454252E-4</v>
      </c>
      <c r="AT40">
        <v>2.3771240070454252E-4</v>
      </c>
      <c r="AU40">
        <v>2.3771240070454252E-4</v>
      </c>
      <c r="BC40" t="s">
        <v>15</v>
      </c>
    </row>
    <row r="41" spans="1:55" x14ac:dyDescent="0.45">
      <c r="A41" t="s">
        <v>110</v>
      </c>
      <c r="B41" t="s">
        <v>318</v>
      </c>
      <c r="C41" t="s">
        <v>397</v>
      </c>
      <c r="D41" t="s">
        <v>312</v>
      </c>
      <c r="E41" t="s">
        <v>116</v>
      </c>
      <c r="F41" t="s">
        <v>332</v>
      </c>
      <c r="G41" t="s">
        <v>227</v>
      </c>
      <c r="H41" t="s">
        <v>228</v>
      </c>
      <c r="I41">
        <v>40</v>
      </c>
      <c r="J41">
        <v>0</v>
      </c>
      <c r="K41">
        <v>120</v>
      </c>
      <c r="L41">
        <v>1</v>
      </c>
      <c r="N41">
        <v>0.04</v>
      </c>
      <c r="O41">
        <v>0</v>
      </c>
      <c r="P41">
        <v>0.12</v>
      </c>
      <c r="Q41">
        <v>1.85</v>
      </c>
      <c r="R41">
        <v>0</v>
      </c>
      <c r="S41">
        <v>5.55</v>
      </c>
      <c r="U41" t="s">
        <v>387</v>
      </c>
      <c r="V41" t="s">
        <v>388</v>
      </c>
      <c r="W41" t="s">
        <v>365</v>
      </c>
      <c r="X41" t="s">
        <v>365</v>
      </c>
      <c r="Y41">
        <v>4.2000000000000003E-2</v>
      </c>
      <c r="Z41">
        <v>952.38095238095229</v>
      </c>
      <c r="AA41">
        <v>3.5650613285708044</v>
      </c>
      <c r="AB41">
        <v>0</v>
      </c>
      <c r="AC41">
        <v>10.695183985712411</v>
      </c>
      <c r="AD41">
        <v>4.3264074367388643</v>
      </c>
      <c r="AE41">
        <v>0</v>
      </c>
      <c r="AF41">
        <v>12.97922231021659</v>
      </c>
      <c r="AG41">
        <v>1.8311870375301069</v>
      </c>
      <c r="AH41">
        <v>0</v>
      </c>
      <c r="AI41">
        <v>5.4935611125903199</v>
      </c>
      <c r="AJ41">
        <v>39.357787056474841</v>
      </c>
      <c r="AK41">
        <v>0</v>
      </c>
      <c r="AL41">
        <v>118.07336116942452</v>
      </c>
      <c r="AP41">
        <v>2.0048328023872855</v>
      </c>
      <c r="AQ41">
        <v>0</v>
      </c>
      <c r="AR41">
        <v>6.0144984071618559</v>
      </c>
      <c r="AS41">
        <v>7.2248968274475308E-4</v>
      </c>
      <c r="AT41">
        <v>0</v>
      </c>
      <c r="AU41">
        <v>2.1674690482342586E-3</v>
      </c>
      <c r="BC41" t="s">
        <v>15</v>
      </c>
    </row>
    <row r="42" spans="1:55" x14ac:dyDescent="0.45">
      <c r="A42" t="s">
        <v>110</v>
      </c>
      <c r="B42" t="s">
        <v>318</v>
      </c>
      <c r="C42" t="s">
        <v>397</v>
      </c>
      <c r="D42" t="s">
        <v>312</v>
      </c>
      <c r="E42" t="s">
        <v>116</v>
      </c>
      <c r="F42" t="s">
        <v>324</v>
      </c>
      <c r="G42" t="s">
        <v>240</v>
      </c>
      <c r="H42" t="s">
        <v>225</v>
      </c>
      <c r="I42">
        <v>12.5</v>
      </c>
      <c r="J42">
        <v>12.5</v>
      </c>
      <c r="K42">
        <v>12.5</v>
      </c>
      <c r="L42">
        <v>1</v>
      </c>
      <c r="N42">
        <v>0.01</v>
      </c>
      <c r="O42">
        <v>0.01</v>
      </c>
      <c r="P42">
        <v>0.01</v>
      </c>
      <c r="Q42">
        <v>10</v>
      </c>
      <c r="R42">
        <v>10</v>
      </c>
      <c r="S42">
        <v>10</v>
      </c>
      <c r="T42" t="s">
        <v>226</v>
      </c>
      <c r="U42" t="s">
        <v>392</v>
      </c>
      <c r="V42" t="s">
        <v>393</v>
      </c>
      <c r="W42" t="s">
        <v>394</v>
      </c>
      <c r="X42" t="s">
        <v>365</v>
      </c>
      <c r="Y42">
        <v>0.2</v>
      </c>
      <c r="Z42">
        <v>62.5</v>
      </c>
      <c r="AA42">
        <v>9.6885190926662101</v>
      </c>
      <c r="AB42">
        <v>9.6885190926662101</v>
      </c>
      <c r="AC42">
        <v>9.6885190926662101</v>
      </c>
      <c r="AD42">
        <v>10.504992021872901</v>
      </c>
      <c r="AE42">
        <v>10.504992021872901</v>
      </c>
      <c r="AF42">
        <v>10.504992021872901</v>
      </c>
      <c r="AG42">
        <v>2.5140556386449697</v>
      </c>
      <c r="AH42">
        <v>2.5140556386449697</v>
      </c>
      <c r="AI42">
        <v>2.5140556386449697</v>
      </c>
      <c r="AJ42">
        <v>38.560990916917703</v>
      </c>
      <c r="AK42">
        <v>38.560990916917703</v>
      </c>
      <c r="AL42">
        <v>38.560990916917703</v>
      </c>
      <c r="AP42">
        <v>1.2506783392176499</v>
      </c>
      <c r="AQ42">
        <v>1.2506783392176499</v>
      </c>
      <c r="AR42">
        <v>1.2506783392176499</v>
      </c>
      <c r="AS42">
        <v>8.7990794098609262E-4</v>
      </c>
      <c r="AT42">
        <v>8.7990794098609262E-4</v>
      </c>
      <c r="AU42">
        <v>8.7990794098609262E-4</v>
      </c>
      <c r="BC42" t="s">
        <v>15</v>
      </c>
    </row>
    <row r="43" spans="1:55" x14ac:dyDescent="0.45">
      <c r="A43" t="s">
        <v>110</v>
      </c>
      <c r="B43" t="s">
        <v>318</v>
      </c>
      <c r="C43" t="s">
        <v>397</v>
      </c>
      <c r="D43" t="s">
        <v>312</v>
      </c>
      <c r="E43" t="s">
        <v>116</v>
      </c>
      <c r="F43" t="s">
        <v>255</v>
      </c>
      <c r="G43" t="s">
        <v>255</v>
      </c>
      <c r="H43" t="s">
        <v>225</v>
      </c>
      <c r="I43">
        <v>0.3</v>
      </c>
      <c r="J43">
        <v>0.3</v>
      </c>
      <c r="K43">
        <v>0.3</v>
      </c>
      <c r="L43">
        <v>1</v>
      </c>
      <c r="N43">
        <v>0</v>
      </c>
      <c r="O43">
        <v>0</v>
      </c>
      <c r="P43">
        <v>0</v>
      </c>
      <c r="Q43">
        <v>0.36</v>
      </c>
      <c r="R43">
        <v>0.36</v>
      </c>
      <c r="S43">
        <v>0.36</v>
      </c>
      <c r="T43" t="s">
        <v>413</v>
      </c>
      <c r="U43" t="s">
        <v>414</v>
      </c>
      <c r="V43" t="s">
        <v>374</v>
      </c>
      <c r="W43" t="s">
        <v>365</v>
      </c>
      <c r="X43" t="s">
        <v>365</v>
      </c>
      <c r="Y43">
        <v>0</v>
      </c>
      <c r="AA43">
        <v>18.414918316349567</v>
      </c>
      <c r="AB43">
        <v>18.414918316349567</v>
      </c>
      <c r="AC43">
        <v>18.414918316349567</v>
      </c>
      <c r="AD43">
        <v>19.283701585763701</v>
      </c>
      <c r="AE43">
        <v>19.283701585763701</v>
      </c>
      <c r="AF43">
        <v>19.283701585763701</v>
      </c>
      <c r="AG43">
        <v>1.4819675623276174</v>
      </c>
      <c r="AH43">
        <v>1.4819675623276174</v>
      </c>
      <c r="AI43">
        <v>1.4819675623276174</v>
      </c>
      <c r="AJ43">
        <v>26.487832156511757</v>
      </c>
      <c r="AK43">
        <v>26.487832156511757</v>
      </c>
      <c r="AL43">
        <v>26.487832156511757</v>
      </c>
      <c r="AP43">
        <v>1.5601151185896418</v>
      </c>
      <c r="AQ43">
        <v>1.5601151185896418</v>
      </c>
      <c r="AR43">
        <v>1.5601151185896418</v>
      </c>
      <c r="AS43">
        <v>9.663696742941237E-4</v>
      </c>
      <c r="AT43">
        <v>9.663696742941237E-4</v>
      </c>
      <c r="AU43">
        <v>9.663696742941237E-4</v>
      </c>
      <c r="BC43" t="s">
        <v>15</v>
      </c>
    </row>
    <row r="44" spans="1:55" x14ac:dyDescent="0.45">
      <c r="A44" t="s">
        <v>110</v>
      </c>
      <c r="B44" t="s">
        <v>326</v>
      </c>
      <c r="C44" t="s">
        <v>362</v>
      </c>
      <c r="D44" t="s">
        <v>303</v>
      </c>
      <c r="E44" t="s">
        <v>115</v>
      </c>
      <c r="F44" t="s">
        <v>327</v>
      </c>
      <c r="G44" t="s">
        <v>261</v>
      </c>
      <c r="H44" t="s">
        <v>225</v>
      </c>
      <c r="I44">
        <v>12.5</v>
      </c>
      <c r="J44">
        <v>12.5</v>
      </c>
      <c r="K44">
        <v>12.5</v>
      </c>
      <c r="L44">
        <v>1</v>
      </c>
      <c r="N44">
        <v>0.01</v>
      </c>
      <c r="O44">
        <v>0.01</v>
      </c>
      <c r="P44">
        <v>0.01</v>
      </c>
      <c r="Q44">
        <v>10</v>
      </c>
      <c r="R44">
        <v>10</v>
      </c>
      <c r="S44">
        <v>10</v>
      </c>
      <c r="T44" t="s">
        <v>226</v>
      </c>
      <c r="U44" t="s">
        <v>415</v>
      </c>
      <c r="V44" t="s">
        <v>393</v>
      </c>
      <c r="W44" t="s">
        <v>416</v>
      </c>
      <c r="X44" t="s">
        <v>365</v>
      </c>
      <c r="Y44">
        <v>0.2</v>
      </c>
      <c r="Z44">
        <v>62.5</v>
      </c>
      <c r="AA44">
        <v>9.6885190926662101</v>
      </c>
      <c r="AB44">
        <v>9.6885190926662101</v>
      </c>
      <c r="AC44">
        <v>9.6885190926662101</v>
      </c>
      <c r="AD44">
        <v>10.504992021872901</v>
      </c>
      <c r="AE44">
        <v>10.504992021872901</v>
      </c>
      <c r="AF44">
        <v>10.504992021872901</v>
      </c>
      <c r="AG44">
        <v>2.5140556386449697</v>
      </c>
      <c r="AH44">
        <v>2.5140556386449697</v>
      </c>
      <c r="AI44">
        <v>2.5140556386449697</v>
      </c>
      <c r="AJ44">
        <v>38.560990916917703</v>
      </c>
      <c r="AK44">
        <v>38.560990916917703</v>
      </c>
      <c r="AL44">
        <v>38.560990916917703</v>
      </c>
      <c r="AP44">
        <v>1.2506783392176499</v>
      </c>
      <c r="AQ44">
        <v>1.2506783392176499</v>
      </c>
      <c r="AR44">
        <v>1.2506783392176499</v>
      </c>
      <c r="AS44">
        <v>8.7990794098609262E-4</v>
      </c>
      <c r="AT44">
        <v>8.7990794098609262E-4</v>
      </c>
      <c r="AU44">
        <v>8.7990794098609262E-4</v>
      </c>
      <c r="BC44" t="s">
        <v>15</v>
      </c>
    </row>
    <row r="45" spans="1:55" x14ac:dyDescent="0.45">
      <c r="A45" t="s">
        <v>110</v>
      </c>
      <c r="B45" t="s">
        <v>326</v>
      </c>
      <c r="C45" t="s">
        <v>362</v>
      </c>
      <c r="D45" t="s">
        <v>303</v>
      </c>
      <c r="E45" t="s">
        <v>115</v>
      </c>
      <c r="F45" t="s">
        <v>337</v>
      </c>
      <c r="G45" t="s">
        <v>270</v>
      </c>
      <c r="H45" t="s">
        <v>228</v>
      </c>
      <c r="I45">
        <v>140</v>
      </c>
      <c r="J45">
        <v>100</v>
      </c>
      <c r="K45">
        <v>220</v>
      </c>
      <c r="L45">
        <v>1</v>
      </c>
      <c r="M45">
        <v>1</v>
      </c>
      <c r="N45">
        <v>0.14000000000000001</v>
      </c>
      <c r="O45">
        <v>0.1</v>
      </c>
      <c r="P45">
        <v>0.22</v>
      </c>
      <c r="Q45">
        <v>4.4800000000000004</v>
      </c>
      <c r="R45">
        <v>3.2</v>
      </c>
      <c r="S45">
        <v>7.04</v>
      </c>
      <c r="T45" t="s">
        <v>417</v>
      </c>
      <c r="U45" t="s">
        <v>369</v>
      </c>
      <c r="V45" t="s">
        <v>370</v>
      </c>
      <c r="W45" t="s">
        <v>365</v>
      </c>
      <c r="X45" t="s">
        <v>365</v>
      </c>
      <c r="Y45">
        <v>3.6999999999999998E-2</v>
      </c>
      <c r="Z45">
        <v>3783.7837837837837</v>
      </c>
      <c r="AA45">
        <v>11.915567487274574</v>
      </c>
      <c r="AB45">
        <v>8.511119633767553</v>
      </c>
      <c r="AC45">
        <v>18.724463194288614</v>
      </c>
      <c r="AD45">
        <v>14.689793254348174</v>
      </c>
      <c r="AE45">
        <v>10.492709467391553</v>
      </c>
      <c r="AF45">
        <v>23.083960828261414</v>
      </c>
      <c r="AG45">
        <v>18.238828078980589</v>
      </c>
      <c r="AH45">
        <v>13.027734342128992</v>
      </c>
      <c r="AI45">
        <v>28.661015552683782</v>
      </c>
      <c r="AJ45">
        <v>422.66865453497041</v>
      </c>
      <c r="AK45">
        <v>301.90618181069311</v>
      </c>
      <c r="AL45">
        <v>664.1935999835249</v>
      </c>
      <c r="AP45">
        <v>14.740010857453953</v>
      </c>
      <c r="AQ45">
        <v>10.52857918389568</v>
      </c>
      <c r="AR45">
        <v>23.162874204570496</v>
      </c>
      <c r="AS45">
        <v>6.3058618078838877E-3</v>
      </c>
      <c r="AT45">
        <v>4.5041870056313476E-3</v>
      </c>
      <c r="AU45">
        <v>9.9092114123889644E-3</v>
      </c>
      <c r="BC45" t="s">
        <v>15</v>
      </c>
    </row>
    <row r="46" spans="1:55" x14ac:dyDescent="0.45">
      <c r="A46" t="s">
        <v>110</v>
      </c>
      <c r="B46" t="s">
        <v>326</v>
      </c>
      <c r="C46" t="s">
        <v>362</v>
      </c>
      <c r="D46" t="s">
        <v>303</v>
      </c>
      <c r="E46" t="s">
        <v>115</v>
      </c>
      <c r="F46" t="s">
        <v>338</v>
      </c>
      <c r="G46" t="s">
        <v>262</v>
      </c>
      <c r="H46" t="s">
        <v>225</v>
      </c>
      <c r="I46">
        <v>12.5</v>
      </c>
      <c r="J46">
        <v>12.5</v>
      </c>
      <c r="K46">
        <v>12.5</v>
      </c>
      <c r="L46">
        <v>1</v>
      </c>
      <c r="M46">
        <v>1</v>
      </c>
      <c r="N46">
        <v>0.01</v>
      </c>
      <c r="O46">
        <v>0.01</v>
      </c>
      <c r="P46">
        <v>0.01</v>
      </c>
      <c r="Q46">
        <v>14.75</v>
      </c>
      <c r="R46">
        <v>14.75</v>
      </c>
      <c r="S46">
        <v>14.75</v>
      </c>
      <c r="T46" t="s">
        <v>226</v>
      </c>
      <c r="U46" t="s">
        <v>418</v>
      </c>
      <c r="V46" t="s">
        <v>419</v>
      </c>
      <c r="W46" t="s">
        <v>420</v>
      </c>
      <c r="X46" t="s">
        <v>365</v>
      </c>
      <c r="Y46">
        <v>1.2</v>
      </c>
      <c r="Z46">
        <v>10.416666666666668</v>
      </c>
      <c r="AA46">
        <v>11.875215319731202</v>
      </c>
      <c r="AB46">
        <v>11.875215319731202</v>
      </c>
      <c r="AC46">
        <v>11.875215319731202</v>
      </c>
      <c r="AD46">
        <v>12.798521946138338</v>
      </c>
      <c r="AE46">
        <v>12.798521946138338</v>
      </c>
      <c r="AF46">
        <v>12.798521946138338</v>
      </c>
      <c r="AG46">
        <v>2.7494730811355699</v>
      </c>
      <c r="AH46">
        <v>2.7494730811355699</v>
      </c>
      <c r="AI46">
        <v>2.7494730811355699</v>
      </c>
      <c r="AJ46">
        <v>41.383269420516548</v>
      </c>
      <c r="AK46">
        <v>41.383269420516548</v>
      </c>
      <c r="AL46">
        <v>41.383269420516548</v>
      </c>
      <c r="AP46">
        <v>1.3588455343138353</v>
      </c>
      <c r="AQ46">
        <v>1.3588455343138353</v>
      </c>
      <c r="AR46">
        <v>1.3588455343138353</v>
      </c>
      <c r="AS46">
        <v>9.9093607355654778E-4</v>
      </c>
      <c r="AT46">
        <v>9.9093607355654778E-4</v>
      </c>
      <c r="AU46">
        <v>9.9093607355654778E-4</v>
      </c>
      <c r="BC46" t="s">
        <v>15</v>
      </c>
    </row>
    <row r="47" spans="1:55" x14ac:dyDescent="0.45">
      <c r="A47" t="s">
        <v>110</v>
      </c>
      <c r="B47" t="s">
        <v>339</v>
      </c>
      <c r="C47" t="s">
        <v>377</v>
      </c>
      <c r="D47" t="s">
        <v>309</v>
      </c>
      <c r="E47" t="s">
        <v>114</v>
      </c>
      <c r="F47" t="s">
        <v>340</v>
      </c>
      <c r="G47" t="s">
        <v>281</v>
      </c>
      <c r="H47" t="s">
        <v>225</v>
      </c>
      <c r="I47">
        <v>2.5</v>
      </c>
      <c r="J47">
        <v>2.5</v>
      </c>
      <c r="K47">
        <v>2.5</v>
      </c>
      <c r="L47">
        <v>1</v>
      </c>
      <c r="N47">
        <v>0</v>
      </c>
      <c r="O47">
        <v>0</v>
      </c>
      <c r="P47">
        <v>0</v>
      </c>
      <c r="Q47">
        <v>3</v>
      </c>
      <c r="R47">
        <v>3</v>
      </c>
      <c r="S47">
        <v>3</v>
      </c>
      <c r="T47" t="s">
        <v>226</v>
      </c>
      <c r="U47" t="s">
        <v>421</v>
      </c>
      <c r="V47" t="s">
        <v>374</v>
      </c>
      <c r="W47" t="s">
        <v>397</v>
      </c>
      <c r="X47" t="s">
        <v>365</v>
      </c>
      <c r="Y47">
        <v>0.2</v>
      </c>
      <c r="Z47">
        <v>12.5</v>
      </c>
      <c r="AA47">
        <v>25.892138811192027</v>
      </c>
      <c r="AB47">
        <v>25.892138811192027</v>
      </c>
      <c r="AC47">
        <v>25.892138811192027</v>
      </c>
      <c r="AD47">
        <v>28.559013021728106</v>
      </c>
      <c r="AE47">
        <v>28.559013021728106</v>
      </c>
      <c r="AF47">
        <v>28.559013021728106</v>
      </c>
      <c r="AG47">
        <v>4.8667699335648864</v>
      </c>
      <c r="AH47">
        <v>4.8667699335648864</v>
      </c>
      <c r="AI47">
        <v>4.8667699335648864</v>
      </c>
      <c r="AJ47">
        <v>81.921191415921896</v>
      </c>
      <c r="AK47">
        <v>81.921191415921896</v>
      </c>
      <c r="AL47">
        <v>81.921191415921896</v>
      </c>
      <c r="AP47">
        <v>10.618839375204947</v>
      </c>
      <c r="AQ47">
        <v>10.618839375204947</v>
      </c>
      <c r="AR47">
        <v>10.618839375204947</v>
      </c>
      <c r="AS47">
        <v>2.6762612954026187E-3</v>
      </c>
      <c r="AT47">
        <v>2.6762612954026187E-3</v>
      </c>
      <c r="AU47">
        <v>2.6762612954026187E-3</v>
      </c>
      <c r="BC47" t="s">
        <v>15</v>
      </c>
    </row>
    <row r="48" spans="1:55" x14ac:dyDescent="0.45">
      <c r="A48" t="s">
        <v>110</v>
      </c>
      <c r="B48" t="s">
        <v>339</v>
      </c>
      <c r="C48" t="s">
        <v>377</v>
      </c>
      <c r="D48" t="s">
        <v>309</v>
      </c>
      <c r="E48" t="s">
        <v>114</v>
      </c>
      <c r="F48" t="s">
        <v>321</v>
      </c>
      <c r="G48" t="s">
        <v>256</v>
      </c>
      <c r="H48" t="s">
        <v>225</v>
      </c>
      <c r="I48">
        <v>55</v>
      </c>
      <c r="J48">
        <v>55</v>
      </c>
      <c r="K48">
        <v>55</v>
      </c>
      <c r="L48">
        <v>1</v>
      </c>
      <c r="N48">
        <v>0.06</v>
      </c>
      <c r="O48">
        <v>0.06</v>
      </c>
      <c r="P48">
        <v>0.06</v>
      </c>
      <c r="Q48">
        <v>132</v>
      </c>
      <c r="R48">
        <v>132</v>
      </c>
      <c r="S48">
        <v>132</v>
      </c>
      <c r="T48" t="s">
        <v>226</v>
      </c>
      <c r="U48" t="s">
        <v>376</v>
      </c>
      <c r="V48" t="s">
        <v>372</v>
      </c>
      <c r="W48" t="s">
        <v>365</v>
      </c>
      <c r="X48" t="s">
        <v>365</v>
      </c>
      <c r="Y48">
        <v>1.4</v>
      </c>
      <c r="Z48">
        <v>39.285714285714285</v>
      </c>
      <c r="AA48">
        <v>159.27591414227459</v>
      </c>
      <c r="AB48">
        <v>159.27591414227459</v>
      </c>
      <c r="AC48">
        <v>159.27591414227459</v>
      </c>
      <c r="AD48">
        <v>170.71844328126852</v>
      </c>
      <c r="AE48">
        <v>170.71844328126852</v>
      </c>
      <c r="AF48">
        <v>170.71844328126852</v>
      </c>
      <c r="AG48">
        <v>30.693834506352999</v>
      </c>
      <c r="AH48">
        <v>30.693834506352999</v>
      </c>
      <c r="AI48">
        <v>30.693834506352999</v>
      </c>
      <c r="AJ48">
        <v>237.10382018166359</v>
      </c>
      <c r="AK48">
        <v>237.10382018166359</v>
      </c>
      <c r="AL48">
        <v>237.10382018166359</v>
      </c>
      <c r="AP48">
        <v>4.4164662941808288</v>
      </c>
      <c r="AQ48">
        <v>4.4164662941808288</v>
      </c>
      <c r="AR48">
        <v>4.4164662941808288</v>
      </c>
      <c r="AS48">
        <v>9.2372998574454471E-3</v>
      </c>
      <c r="AT48">
        <v>9.2372998574454471E-3</v>
      </c>
      <c r="AU48">
        <v>9.2372998574454471E-3</v>
      </c>
      <c r="BC48" t="s">
        <v>15</v>
      </c>
    </row>
    <row r="49" spans="1:55" x14ac:dyDescent="0.45">
      <c r="A49" t="s">
        <v>110</v>
      </c>
      <c r="B49" t="s">
        <v>339</v>
      </c>
      <c r="C49" t="s">
        <v>377</v>
      </c>
      <c r="D49" t="s">
        <v>309</v>
      </c>
      <c r="E49" t="s">
        <v>114</v>
      </c>
      <c r="F49" t="s">
        <v>341</v>
      </c>
      <c r="G49" t="s">
        <v>269</v>
      </c>
      <c r="H49" t="s">
        <v>228</v>
      </c>
      <c r="I49">
        <v>80</v>
      </c>
      <c r="J49">
        <v>40</v>
      </c>
      <c r="K49">
        <v>160</v>
      </c>
      <c r="L49">
        <v>1</v>
      </c>
      <c r="N49">
        <v>0.08</v>
      </c>
      <c r="O49">
        <v>0.04</v>
      </c>
      <c r="P49">
        <v>0.16</v>
      </c>
      <c r="Q49">
        <v>2</v>
      </c>
      <c r="R49">
        <v>1</v>
      </c>
      <c r="S49">
        <v>4</v>
      </c>
      <c r="T49" t="s">
        <v>226</v>
      </c>
      <c r="U49" t="s">
        <v>379</v>
      </c>
      <c r="V49" t="s">
        <v>380</v>
      </c>
      <c r="W49" t="s">
        <v>365</v>
      </c>
      <c r="X49" t="s">
        <v>365</v>
      </c>
      <c r="Y49">
        <v>0.03</v>
      </c>
      <c r="Z49">
        <v>2666.666666666667</v>
      </c>
      <c r="AA49">
        <v>4.2006849708512597</v>
      </c>
      <c r="AB49">
        <v>2.1003424854256298</v>
      </c>
      <c r="AC49">
        <v>8.4013699417025194</v>
      </c>
      <c r="AD49">
        <v>4.9225694466775201</v>
      </c>
      <c r="AE49">
        <v>2.46128472333876</v>
      </c>
      <c r="AF49">
        <v>9.8451388933550401</v>
      </c>
      <c r="AG49">
        <v>7.3458505619799004</v>
      </c>
      <c r="AH49">
        <v>3.6729252809899502</v>
      </c>
      <c r="AI49">
        <v>14.691701123959801</v>
      </c>
      <c r="AJ49">
        <v>172.43350511395019</v>
      </c>
      <c r="AK49">
        <v>86.216752556975095</v>
      </c>
      <c r="AL49">
        <v>344.86701022790038</v>
      </c>
      <c r="AP49">
        <v>5.2955597894295403</v>
      </c>
      <c r="AQ49">
        <v>2.6477798947147702</v>
      </c>
      <c r="AR49">
        <v>10.591119578859081</v>
      </c>
      <c r="AS49">
        <v>2.4823142245463622E-3</v>
      </c>
      <c r="AT49">
        <v>1.2411571122731811E-3</v>
      </c>
      <c r="AU49">
        <v>4.9646284490927244E-3</v>
      </c>
      <c r="BC49" t="s">
        <v>15</v>
      </c>
    </row>
    <row r="50" spans="1:55" x14ac:dyDescent="0.45">
      <c r="A50" t="s">
        <v>110</v>
      </c>
      <c r="B50" t="s">
        <v>339</v>
      </c>
      <c r="C50" t="s">
        <v>377</v>
      </c>
      <c r="D50" t="s">
        <v>309</v>
      </c>
      <c r="E50" t="s">
        <v>114</v>
      </c>
      <c r="F50" t="s">
        <v>319</v>
      </c>
      <c r="G50" t="s">
        <v>282</v>
      </c>
      <c r="H50" t="s">
        <v>225</v>
      </c>
      <c r="I50">
        <v>0.2</v>
      </c>
      <c r="J50">
        <v>0.2</v>
      </c>
      <c r="K50">
        <v>0.2</v>
      </c>
      <c r="L50">
        <v>1</v>
      </c>
      <c r="N50">
        <v>0</v>
      </c>
      <c r="O50">
        <v>0</v>
      </c>
      <c r="P50">
        <v>0</v>
      </c>
      <c r="Q50">
        <v>0.28000000000000003</v>
      </c>
      <c r="R50">
        <v>0.28000000000000003</v>
      </c>
      <c r="S50">
        <v>0.28000000000000003</v>
      </c>
      <c r="T50" t="s">
        <v>226</v>
      </c>
      <c r="U50" t="s">
        <v>366</v>
      </c>
      <c r="V50" t="s">
        <v>367</v>
      </c>
      <c r="W50" t="s">
        <v>368</v>
      </c>
      <c r="X50" t="s">
        <v>365</v>
      </c>
      <c r="Y50">
        <v>0.17</v>
      </c>
      <c r="Z50">
        <v>1.1764705882352942</v>
      </c>
      <c r="AA50">
        <v>0.56566490833487659</v>
      </c>
      <c r="AB50">
        <v>0.56566490833487659</v>
      </c>
      <c r="AC50">
        <v>0.56566490833487659</v>
      </c>
      <c r="AD50">
        <v>0.70605426967153773</v>
      </c>
      <c r="AE50">
        <v>0.70605426967153773</v>
      </c>
      <c r="AF50">
        <v>0.70605426967153773</v>
      </c>
      <c r="AG50">
        <v>0.55327120946390662</v>
      </c>
      <c r="AH50">
        <v>0.55327120946390662</v>
      </c>
      <c r="AI50">
        <v>0.55327120946390662</v>
      </c>
      <c r="AJ50">
        <v>20.491472968565958</v>
      </c>
      <c r="AK50">
        <v>20.491472968565958</v>
      </c>
      <c r="AL50">
        <v>20.491472968565958</v>
      </c>
      <c r="AP50">
        <v>0.28989199614304856</v>
      </c>
      <c r="AQ50">
        <v>0.28989199614304856</v>
      </c>
      <c r="AR50">
        <v>0.28989199614304856</v>
      </c>
      <c r="AS50">
        <v>2.3771240070454252E-4</v>
      </c>
      <c r="AT50">
        <v>2.3771240070454252E-4</v>
      </c>
      <c r="AU50">
        <v>2.3771240070454252E-4</v>
      </c>
      <c r="BC50" t="s">
        <v>15</v>
      </c>
    </row>
    <row r="51" spans="1:55" x14ac:dyDescent="0.45">
      <c r="A51" t="s">
        <v>117</v>
      </c>
      <c r="B51" t="s">
        <v>342</v>
      </c>
      <c r="C51" t="s">
        <v>362</v>
      </c>
      <c r="D51" t="s">
        <v>343</v>
      </c>
      <c r="E51" t="s">
        <v>119</v>
      </c>
      <c r="F51" t="s">
        <v>319</v>
      </c>
      <c r="G51" t="s">
        <v>282</v>
      </c>
      <c r="H51" t="s">
        <v>225</v>
      </c>
      <c r="I51">
        <v>0.2</v>
      </c>
      <c r="J51">
        <v>0.2</v>
      </c>
      <c r="K51">
        <v>0.2</v>
      </c>
      <c r="L51">
        <v>1</v>
      </c>
      <c r="N51">
        <v>0</v>
      </c>
      <c r="O51">
        <v>0</v>
      </c>
      <c r="P51">
        <v>0</v>
      </c>
      <c r="Q51">
        <v>0.28000000000000003</v>
      </c>
      <c r="R51">
        <v>0.28000000000000003</v>
      </c>
      <c r="S51">
        <v>0.28000000000000003</v>
      </c>
      <c r="T51" t="s">
        <v>226</v>
      </c>
      <c r="U51" t="s">
        <v>366</v>
      </c>
      <c r="V51" t="s">
        <v>367</v>
      </c>
      <c r="W51" t="s">
        <v>368</v>
      </c>
      <c r="X51" t="s">
        <v>365</v>
      </c>
      <c r="Y51">
        <v>0.17</v>
      </c>
      <c r="Z51">
        <v>1.1764705882352942</v>
      </c>
      <c r="AA51">
        <v>0.56566490833487659</v>
      </c>
      <c r="AB51">
        <v>0.56566490833487659</v>
      </c>
      <c r="AC51">
        <v>0.56566490833487659</v>
      </c>
      <c r="AD51">
        <v>0.70605426967153773</v>
      </c>
      <c r="AE51">
        <v>0.70605426967153773</v>
      </c>
      <c r="AF51">
        <v>0.70605426967153773</v>
      </c>
      <c r="AG51">
        <v>0.55327120946390662</v>
      </c>
      <c r="AH51">
        <v>0.55327120946390662</v>
      </c>
      <c r="AI51">
        <v>0.55327120946390662</v>
      </c>
      <c r="AJ51">
        <v>20.491472968565958</v>
      </c>
      <c r="AK51">
        <v>20.491472968565958</v>
      </c>
      <c r="AL51">
        <v>20.491472968565958</v>
      </c>
      <c r="AP51">
        <v>0.28989199614304856</v>
      </c>
      <c r="AQ51">
        <v>0.28989199614304856</v>
      </c>
      <c r="AR51">
        <v>0.28989199614304856</v>
      </c>
      <c r="AS51">
        <v>2.3771240070454252E-4</v>
      </c>
      <c r="AT51">
        <v>2.3771240070454252E-4</v>
      </c>
      <c r="AU51">
        <v>2.3771240070454252E-4</v>
      </c>
      <c r="BC51" t="s">
        <v>15</v>
      </c>
    </row>
    <row r="52" spans="1:55" x14ac:dyDescent="0.45">
      <c r="A52" t="s">
        <v>117</v>
      </c>
      <c r="B52" t="s">
        <v>342</v>
      </c>
      <c r="C52" t="s">
        <v>362</v>
      </c>
      <c r="D52" t="s">
        <v>343</v>
      </c>
      <c r="E52" t="s">
        <v>119</v>
      </c>
      <c r="F52" t="s">
        <v>344</v>
      </c>
      <c r="G52" t="s">
        <v>273</v>
      </c>
      <c r="H52" t="s">
        <v>228</v>
      </c>
      <c r="I52">
        <v>120</v>
      </c>
      <c r="J52">
        <v>80</v>
      </c>
      <c r="K52">
        <v>200</v>
      </c>
      <c r="L52">
        <v>1</v>
      </c>
      <c r="N52">
        <v>0.12</v>
      </c>
      <c r="O52">
        <v>0.08</v>
      </c>
      <c r="P52">
        <v>0.2</v>
      </c>
      <c r="Q52">
        <v>3.6</v>
      </c>
      <c r="R52">
        <v>2.4</v>
      </c>
      <c r="S52">
        <v>6</v>
      </c>
      <c r="T52" t="s">
        <v>226</v>
      </c>
      <c r="U52" t="s">
        <v>422</v>
      </c>
      <c r="V52" t="s">
        <v>423</v>
      </c>
      <c r="W52" t="s">
        <v>365</v>
      </c>
      <c r="X52" t="s">
        <v>365</v>
      </c>
      <c r="Y52">
        <v>2.5999999999999999E-2</v>
      </c>
      <c r="Z52">
        <v>4615.3846153846152</v>
      </c>
      <c r="AA52">
        <v>23.216335199521307</v>
      </c>
      <c r="AB52">
        <v>15.477556799680871</v>
      </c>
      <c r="AC52">
        <v>38.693891999202179</v>
      </c>
      <c r="AD52">
        <v>29.308050627900545</v>
      </c>
      <c r="AE52">
        <v>19.538700418600367</v>
      </c>
      <c r="AF52">
        <v>48.846751046500913</v>
      </c>
      <c r="AG52">
        <v>11.251888276319999</v>
      </c>
      <c r="AH52">
        <v>7.5012588508799993</v>
      </c>
      <c r="AI52">
        <v>18.753147127200002</v>
      </c>
      <c r="AJ52">
        <v>261.17116632</v>
      </c>
      <c r="AK52">
        <v>174.11411088</v>
      </c>
      <c r="AL52">
        <v>435.2852772</v>
      </c>
      <c r="AP52">
        <v>19.185573930911747</v>
      </c>
      <c r="AQ52">
        <v>12.790382620607833</v>
      </c>
      <c r="AR52">
        <v>31.97595655151958</v>
      </c>
      <c r="AS52">
        <v>5.220978089262758E-3</v>
      </c>
      <c r="AT52">
        <v>3.4806520595085056E-3</v>
      </c>
      <c r="AU52">
        <v>8.7016301487712645E-3</v>
      </c>
      <c r="BC52" t="s">
        <v>15</v>
      </c>
    </row>
    <row r="53" spans="1:55" x14ac:dyDescent="0.45">
      <c r="A53" t="s">
        <v>117</v>
      </c>
      <c r="B53" t="s">
        <v>342</v>
      </c>
      <c r="C53" t="s">
        <v>362</v>
      </c>
      <c r="D53" t="s">
        <v>343</v>
      </c>
      <c r="E53" t="s">
        <v>119</v>
      </c>
      <c r="F53" t="s">
        <v>345</v>
      </c>
      <c r="G53" t="s">
        <v>280</v>
      </c>
      <c r="H53" t="s">
        <v>225</v>
      </c>
      <c r="I53">
        <v>5</v>
      </c>
      <c r="J53">
        <v>5</v>
      </c>
      <c r="K53">
        <v>5</v>
      </c>
      <c r="L53">
        <v>1</v>
      </c>
      <c r="N53">
        <v>0</v>
      </c>
      <c r="O53">
        <v>0</v>
      </c>
      <c r="P53">
        <v>0</v>
      </c>
      <c r="Q53">
        <v>5.75</v>
      </c>
      <c r="R53">
        <v>5.75</v>
      </c>
      <c r="S53">
        <v>5.75</v>
      </c>
      <c r="U53" t="s">
        <v>424</v>
      </c>
      <c r="V53" t="s">
        <v>425</v>
      </c>
      <c r="W53" t="s">
        <v>362</v>
      </c>
      <c r="X53" t="s">
        <v>365</v>
      </c>
      <c r="Y53">
        <v>0.3</v>
      </c>
      <c r="Z53">
        <v>16.666666666666668</v>
      </c>
      <c r="AA53">
        <v>19.658485352407961</v>
      </c>
      <c r="AB53">
        <v>19.658485352407961</v>
      </c>
      <c r="AC53">
        <v>19.658485352407961</v>
      </c>
      <c r="AD53">
        <v>25.632007958102854</v>
      </c>
      <c r="AE53">
        <v>25.632007958102854</v>
      </c>
      <c r="AF53">
        <v>25.632007958102854</v>
      </c>
      <c r="AG53">
        <v>13.727878671285412</v>
      </c>
      <c r="AH53">
        <v>13.727878671285412</v>
      </c>
      <c r="AI53">
        <v>13.727878671285412</v>
      </c>
      <c r="AJ53">
        <v>463.17637868013645</v>
      </c>
      <c r="AK53">
        <v>463.17637868013645</v>
      </c>
      <c r="AL53">
        <v>463.17637868013645</v>
      </c>
      <c r="AP53">
        <v>11.782133311776372</v>
      </c>
      <c r="AQ53">
        <v>11.782133311776372</v>
      </c>
      <c r="AR53">
        <v>11.782133311776372</v>
      </c>
      <c r="AS53">
        <v>6.1352855214924975E-3</v>
      </c>
      <c r="AT53">
        <v>6.1352855214924975E-3</v>
      </c>
      <c r="AU53">
        <v>6.1352855214924975E-3</v>
      </c>
      <c r="BC53" t="s">
        <v>15</v>
      </c>
    </row>
    <row r="54" spans="1:55" x14ac:dyDescent="0.45">
      <c r="A54" t="s">
        <v>117</v>
      </c>
      <c r="B54" t="s">
        <v>342</v>
      </c>
      <c r="C54" t="s">
        <v>362</v>
      </c>
      <c r="D54" t="s">
        <v>343</v>
      </c>
      <c r="E54" t="s">
        <v>119</v>
      </c>
      <c r="F54" t="s">
        <v>346</v>
      </c>
      <c r="G54" t="s">
        <v>287</v>
      </c>
      <c r="H54" t="s">
        <v>225</v>
      </c>
      <c r="I54">
        <v>40</v>
      </c>
      <c r="J54">
        <v>40</v>
      </c>
      <c r="K54">
        <v>40</v>
      </c>
      <c r="L54">
        <v>1</v>
      </c>
      <c r="N54">
        <v>0.04</v>
      </c>
      <c r="O54">
        <v>0.04</v>
      </c>
      <c r="P54">
        <v>0.04</v>
      </c>
      <c r="Q54">
        <v>74</v>
      </c>
      <c r="R54">
        <v>74</v>
      </c>
      <c r="S54">
        <v>74</v>
      </c>
      <c r="T54" t="s">
        <v>226</v>
      </c>
      <c r="U54" t="s">
        <v>426</v>
      </c>
      <c r="V54" t="s">
        <v>427</v>
      </c>
      <c r="W54" t="s">
        <v>365</v>
      </c>
      <c r="X54" t="s">
        <v>365</v>
      </c>
      <c r="Y54">
        <v>1.4</v>
      </c>
      <c r="Z54">
        <v>28.571428571428573</v>
      </c>
      <c r="AA54">
        <v>77.787970098647634</v>
      </c>
      <c r="AB54">
        <v>77.787970098647634</v>
      </c>
      <c r="AC54">
        <v>77.787970098647634</v>
      </c>
      <c r="AD54">
        <v>78.832555787420873</v>
      </c>
      <c r="AE54">
        <v>78.832555787420873</v>
      </c>
      <c r="AF54">
        <v>78.832555787420873</v>
      </c>
      <c r="AG54">
        <v>0.61379340894079937</v>
      </c>
      <c r="AH54">
        <v>0.61379340894079937</v>
      </c>
      <c r="AI54">
        <v>0.61379340894079937</v>
      </c>
      <c r="AJ54">
        <v>10.80622575386186</v>
      </c>
      <c r="AK54">
        <v>10.80622575386186</v>
      </c>
      <c r="AL54">
        <v>10.80622575386186</v>
      </c>
      <c r="AP54">
        <v>1.1981825784725078</v>
      </c>
      <c r="AQ54">
        <v>1.1981825784725078</v>
      </c>
      <c r="AR54">
        <v>1.1981825784725078</v>
      </c>
      <c r="AS54">
        <v>2.3701427526530514E-3</v>
      </c>
      <c r="AT54">
        <v>2.3701427526530514E-3</v>
      </c>
      <c r="AU54">
        <v>2.3701427526530514E-3</v>
      </c>
      <c r="BC54" t="s">
        <v>15</v>
      </c>
    </row>
    <row r="55" spans="1:55" x14ac:dyDescent="0.45">
      <c r="A55" t="s">
        <v>117</v>
      </c>
      <c r="B55" t="s">
        <v>347</v>
      </c>
      <c r="C55" t="s">
        <v>377</v>
      </c>
      <c r="D55" t="s">
        <v>312</v>
      </c>
      <c r="E55" t="s">
        <v>118</v>
      </c>
      <c r="F55" t="s">
        <v>319</v>
      </c>
      <c r="G55" t="s">
        <v>282</v>
      </c>
      <c r="H55" t="s">
        <v>225</v>
      </c>
      <c r="I55">
        <v>0.2</v>
      </c>
      <c r="J55">
        <v>0.2</v>
      </c>
      <c r="K55">
        <v>0.2</v>
      </c>
      <c r="L55">
        <v>1</v>
      </c>
      <c r="N55">
        <v>0</v>
      </c>
      <c r="O55">
        <v>0</v>
      </c>
      <c r="P55">
        <v>0</v>
      </c>
      <c r="Q55">
        <v>0.28000000000000003</v>
      </c>
      <c r="R55">
        <v>0.28000000000000003</v>
      </c>
      <c r="S55">
        <v>0.28000000000000003</v>
      </c>
      <c r="T55" t="s">
        <v>226</v>
      </c>
      <c r="U55" t="s">
        <v>366</v>
      </c>
      <c r="V55" t="s">
        <v>367</v>
      </c>
      <c r="W55" t="s">
        <v>368</v>
      </c>
      <c r="X55" t="s">
        <v>365</v>
      </c>
      <c r="Y55">
        <v>0.17</v>
      </c>
      <c r="Z55">
        <v>1.1764705882352942</v>
      </c>
      <c r="AA55">
        <v>0.56566490833487659</v>
      </c>
      <c r="AB55">
        <v>0.56566490833487659</v>
      </c>
      <c r="AC55">
        <v>0.56566490833487659</v>
      </c>
      <c r="AD55">
        <v>0.70605426967153773</v>
      </c>
      <c r="AE55">
        <v>0.70605426967153773</v>
      </c>
      <c r="AF55">
        <v>0.70605426967153773</v>
      </c>
      <c r="AG55">
        <v>0.55327120946390662</v>
      </c>
      <c r="AH55">
        <v>0.55327120946390662</v>
      </c>
      <c r="AI55">
        <v>0.55327120946390662</v>
      </c>
      <c r="AJ55">
        <v>20.491472968565958</v>
      </c>
      <c r="AK55">
        <v>20.491472968565958</v>
      </c>
      <c r="AL55">
        <v>20.491472968565958</v>
      </c>
      <c r="AP55">
        <v>0.28989199614304856</v>
      </c>
      <c r="AQ55">
        <v>0.28989199614304856</v>
      </c>
      <c r="AR55">
        <v>0.28989199614304856</v>
      </c>
      <c r="AS55">
        <v>2.3771240070454252E-4</v>
      </c>
      <c r="AT55">
        <v>2.3771240070454252E-4</v>
      </c>
      <c r="AU55">
        <v>2.3771240070454252E-4</v>
      </c>
      <c r="BC55" t="s">
        <v>15</v>
      </c>
    </row>
    <row r="56" spans="1:55" x14ac:dyDescent="0.45">
      <c r="A56" t="s">
        <v>117</v>
      </c>
      <c r="B56" t="s">
        <v>347</v>
      </c>
      <c r="C56" t="s">
        <v>377</v>
      </c>
      <c r="D56" t="s">
        <v>312</v>
      </c>
      <c r="E56" t="s">
        <v>118</v>
      </c>
      <c r="F56" t="s">
        <v>349</v>
      </c>
      <c r="G56" t="s">
        <v>284</v>
      </c>
      <c r="H56" t="s">
        <v>225</v>
      </c>
      <c r="J56">
        <v>0</v>
      </c>
      <c r="K56">
        <v>0</v>
      </c>
      <c r="L56">
        <v>1</v>
      </c>
      <c r="N56">
        <v>0</v>
      </c>
      <c r="O56">
        <v>0</v>
      </c>
      <c r="P56">
        <v>0</v>
      </c>
      <c r="Q56">
        <v>0.15</v>
      </c>
      <c r="R56">
        <v>0.15</v>
      </c>
      <c r="S56">
        <v>0.15</v>
      </c>
      <c r="T56" t="s">
        <v>226</v>
      </c>
      <c r="U56" t="s">
        <v>428</v>
      </c>
      <c r="V56" t="s">
        <v>365</v>
      </c>
      <c r="W56" t="s">
        <v>429</v>
      </c>
      <c r="X56" t="s">
        <v>365</v>
      </c>
      <c r="Y56">
        <v>0.22</v>
      </c>
      <c r="Z56">
        <v>0</v>
      </c>
      <c r="AA56">
        <v>0.55734693192457496</v>
      </c>
      <c r="AB56">
        <v>0.55734693192457496</v>
      </c>
      <c r="AC56">
        <v>0.55734693192457496</v>
      </c>
      <c r="AD56">
        <v>0.66592672663025554</v>
      </c>
      <c r="AE56">
        <v>0.66592672663025554</v>
      </c>
      <c r="AF56">
        <v>0.66592672663025554</v>
      </c>
      <c r="AG56">
        <v>0.42493087056683099</v>
      </c>
      <c r="AH56">
        <v>0.42493087056683099</v>
      </c>
      <c r="AI56">
        <v>0.42493087056683099</v>
      </c>
      <c r="AJ56">
        <v>12.66890388061068</v>
      </c>
      <c r="AK56">
        <v>12.66890388061068</v>
      </c>
      <c r="AL56">
        <v>12.66890388061068</v>
      </c>
      <c r="AP56">
        <v>0.18950097800399698</v>
      </c>
      <c r="AQ56">
        <v>0.18950097800399698</v>
      </c>
      <c r="AR56">
        <v>0.18950097800399698</v>
      </c>
      <c r="AS56">
        <v>1.610974356003416E-4</v>
      </c>
      <c r="AT56">
        <v>1.610974356003416E-4</v>
      </c>
      <c r="AU56">
        <v>1.610974356003416E-4</v>
      </c>
      <c r="BC56" t="s">
        <v>15</v>
      </c>
    </row>
    <row r="57" spans="1:55" x14ac:dyDescent="0.45">
      <c r="A57" t="s">
        <v>117</v>
      </c>
      <c r="B57" t="s">
        <v>347</v>
      </c>
      <c r="C57" t="s">
        <v>377</v>
      </c>
      <c r="D57" t="s">
        <v>312</v>
      </c>
      <c r="E57" t="s">
        <v>118</v>
      </c>
      <c r="F57" t="s">
        <v>350</v>
      </c>
      <c r="G57" t="s">
        <v>283</v>
      </c>
      <c r="H57" t="s">
        <v>225</v>
      </c>
      <c r="J57">
        <v>0</v>
      </c>
      <c r="K57">
        <v>0</v>
      </c>
      <c r="L57">
        <v>1</v>
      </c>
      <c r="N57">
        <v>0</v>
      </c>
      <c r="O57">
        <v>0</v>
      </c>
      <c r="P57">
        <v>0</v>
      </c>
      <c r="Q57">
        <v>45</v>
      </c>
      <c r="R57">
        <v>45</v>
      </c>
      <c r="S57">
        <v>45</v>
      </c>
      <c r="T57" t="s">
        <v>226</v>
      </c>
      <c r="U57" t="s">
        <v>430</v>
      </c>
      <c r="V57" t="s">
        <v>385</v>
      </c>
      <c r="W57" t="s">
        <v>431</v>
      </c>
      <c r="X57" t="s">
        <v>365</v>
      </c>
      <c r="Y57">
        <v>1</v>
      </c>
      <c r="Z57">
        <v>0</v>
      </c>
      <c r="AA57">
        <v>69.331363856127908</v>
      </c>
      <c r="AB57">
        <v>69.331363856127908</v>
      </c>
      <c r="AC57">
        <v>69.331363856127908</v>
      </c>
      <c r="AD57">
        <v>149.99494718860157</v>
      </c>
      <c r="AE57">
        <v>149.99494718860157</v>
      </c>
      <c r="AF57">
        <v>149.99494718860157</v>
      </c>
      <c r="AG57">
        <v>15.979782071278215</v>
      </c>
      <c r="AH57">
        <v>15.979782071278215</v>
      </c>
      <c r="AI57">
        <v>15.979782071278215</v>
      </c>
      <c r="AJ57">
        <v>174.72490337954429</v>
      </c>
      <c r="AK57">
        <v>174.72490337954429</v>
      </c>
      <c r="AL57">
        <v>174.72490337954429</v>
      </c>
      <c r="AP57">
        <v>1.6344059088558105</v>
      </c>
      <c r="AQ57">
        <v>1.6344059088558105</v>
      </c>
      <c r="AR57">
        <v>1.6344059088558105</v>
      </c>
      <c r="AS57">
        <v>4.7439787796393082E-3</v>
      </c>
      <c r="AT57">
        <v>4.7439787796393082E-3</v>
      </c>
      <c r="AU57">
        <v>4.7439787796393082E-3</v>
      </c>
      <c r="BC57" t="s">
        <v>15</v>
      </c>
    </row>
    <row r="58" spans="1:55" x14ac:dyDescent="0.45">
      <c r="A58" t="s">
        <v>87</v>
      </c>
      <c r="B58" t="s">
        <v>292</v>
      </c>
      <c r="C58" t="s">
        <v>411</v>
      </c>
      <c r="D58" t="s">
        <v>42</v>
      </c>
      <c r="E58" t="s">
        <v>105</v>
      </c>
      <c r="F58" t="s">
        <v>292</v>
      </c>
      <c r="G58" t="s">
        <v>272</v>
      </c>
      <c r="H58" t="s">
        <v>228</v>
      </c>
      <c r="I58">
        <v>100</v>
      </c>
      <c r="J58">
        <v>60</v>
      </c>
      <c r="K58">
        <v>180</v>
      </c>
      <c r="L58">
        <v>1</v>
      </c>
      <c r="N58">
        <v>0.1</v>
      </c>
      <c r="O58">
        <v>0.06</v>
      </c>
      <c r="P58">
        <v>0.18</v>
      </c>
      <c r="Q58">
        <v>15.08</v>
      </c>
      <c r="R58">
        <v>9.0500000000000007</v>
      </c>
      <c r="S58">
        <v>27.14</v>
      </c>
      <c r="U58" t="s">
        <v>408</v>
      </c>
      <c r="V58" t="s">
        <v>409</v>
      </c>
      <c r="W58" t="s">
        <v>365</v>
      </c>
      <c r="X58" t="s">
        <v>365</v>
      </c>
      <c r="Y58">
        <v>3.2000000000000001E-2</v>
      </c>
      <c r="Z58">
        <v>3125</v>
      </c>
      <c r="AA58">
        <v>23.512651467235422</v>
      </c>
      <c r="AB58">
        <v>14.107590880341251</v>
      </c>
      <c r="AC58">
        <v>42.322772641023754</v>
      </c>
      <c r="AD58">
        <v>28.26607488877908</v>
      </c>
      <c r="AE58">
        <v>16.959644933267445</v>
      </c>
      <c r="AF58">
        <v>50.878934799802337</v>
      </c>
      <c r="AG58">
        <v>14.146175022578422</v>
      </c>
      <c r="AH58">
        <v>8.4877050135470515</v>
      </c>
      <c r="AI58">
        <v>25.463115040641156</v>
      </c>
      <c r="AJ58">
        <v>240.70321784345492</v>
      </c>
      <c r="AK58">
        <v>144.42193070607291</v>
      </c>
      <c r="AL58">
        <v>433.26579211821883</v>
      </c>
      <c r="AP58">
        <v>9.6608119269027188</v>
      </c>
      <c r="AQ58">
        <v>5.7964871561416302</v>
      </c>
      <c r="AR58">
        <v>17.389461468424891</v>
      </c>
      <c r="AS58">
        <v>4.5032187495099626E-3</v>
      </c>
      <c r="AT58">
        <v>2.7019312497059767E-3</v>
      </c>
      <c r="AU58">
        <v>8.1057937491179309E-3</v>
      </c>
      <c r="BC58" t="s">
        <v>15</v>
      </c>
    </row>
    <row r="59" spans="1:55" x14ac:dyDescent="0.45">
      <c r="A59" t="s">
        <v>87</v>
      </c>
      <c r="B59" t="s">
        <v>292</v>
      </c>
      <c r="C59" t="s">
        <v>411</v>
      </c>
      <c r="D59" t="s">
        <v>42</v>
      </c>
      <c r="E59" t="s">
        <v>105</v>
      </c>
      <c r="F59" t="s">
        <v>292</v>
      </c>
      <c r="G59" t="s">
        <v>254</v>
      </c>
      <c r="H59" t="s">
        <v>225</v>
      </c>
      <c r="I59">
        <v>25</v>
      </c>
      <c r="J59">
        <v>10</v>
      </c>
      <c r="K59">
        <v>130</v>
      </c>
      <c r="L59">
        <v>1</v>
      </c>
      <c r="N59">
        <v>0.02</v>
      </c>
      <c r="O59">
        <v>0.01</v>
      </c>
      <c r="P59">
        <v>0.13</v>
      </c>
      <c r="Q59">
        <v>0.03</v>
      </c>
      <c r="R59">
        <v>0.03</v>
      </c>
      <c r="S59">
        <v>0.03</v>
      </c>
      <c r="T59" t="s">
        <v>409</v>
      </c>
      <c r="U59" t="s">
        <v>432</v>
      </c>
      <c r="V59" t="s">
        <v>365</v>
      </c>
      <c r="W59" t="s">
        <v>433</v>
      </c>
      <c r="X59" t="s">
        <v>434</v>
      </c>
      <c r="Y59">
        <v>0.66</v>
      </c>
      <c r="Z59">
        <v>37.878787878787875</v>
      </c>
      <c r="AA59">
        <v>2.6871042504857633E-2</v>
      </c>
      <c r="AB59">
        <v>2.6871042504857633E-2</v>
      </c>
      <c r="AC59">
        <v>2.6871042504857633E-2</v>
      </c>
      <c r="AD59">
        <v>3.7573702472240962E-2</v>
      </c>
      <c r="AE59">
        <v>3.7573702472240962E-2</v>
      </c>
      <c r="AF59">
        <v>3.7573702472240962E-2</v>
      </c>
      <c r="AG59">
        <v>1.479291155377949E-3</v>
      </c>
      <c r="AH59">
        <v>1.479291155377949E-3</v>
      </c>
      <c r="AI59">
        <v>1.479291155377949E-3</v>
      </c>
      <c r="AJ59">
        <v>2.2008910053531519E-2</v>
      </c>
      <c r="AK59">
        <v>2.2008910053531519E-2</v>
      </c>
      <c r="AL59">
        <v>2.2008910053531519E-2</v>
      </c>
      <c r="AP59">
        <v>6.3020351380158404E-4</v>
      </c>
      <c r="AQ59">
        <v>6.3020351380158404E-4</v>
      </c>
      <c r="AR59">
        <v>6.3020351380158404E-4</v>
      </c>
      <c r="AS59">
        <v>1.0835384720992508E-6</v>
      </c>
      <c r="AT59">
        <v>1.0835384720992508E-6</v>
      </c>
      <c r="AU59">
        <v>1.0835384720992508E-6</v>
      </c>
      <c r="BC59" t="s">
        <v>15</v>
      </c>
    </row>
    <row r="60" spans="1:55" x14ac:dyDescent="0.45">
      <c r="A60" t="s">
        <v>87</v>
      </c>
      <c r="B60" t="s">
        <v>222</v>
      </c>
      <c r="C60" t="s">
        <v>377</v>
      </c>
      <c r="D60" t="s">
        <v>223</v>
      </c>
      <c r="E60" t="s">
        <v>106</v>
      </c>
      <c r="G60" t="s">
        <v>224</v>
      </c>
      <c r="I60">
        <v>300</v>
      </c>
      <c r="J60">
        <v>300</v>
      </c>
      <c r="K60">
        <v>300</v>
      </c>
      <c r="L60">
        <v>1</v>
      </c>
      <c r="N60">
        <v>0.3</v>
      </c>
      <c r="O60">
        <v>0.3</v>
      </c>
      <c r="P60">
        <v>0.3</v>
      </c>
      <c r="Q60">
        <v>708</v>
      </c>
      <c r="R60">
        <v>708</v>
      </c>
      <c r="S60">
        <v>708</v>
      </c>
      <c r="T60" t="s">
        <v>226</v>
      </c>
      <c r="U60" t="s">
        <v>363</v>
      </c>
      <c r="V60" t="s">
        <v>364</v>
      </c>
      <c r="W60" t="s">
        <v>365</v>
      </c>
      <c r="X60" t="s">
        <v>365</v>
      </c>
      <c r="Y60">
        <v>1.4</v>
      </c>
      <c r="Z60">
        <v>214.28571428571431</v>
      </c>
      <c r="AA60">
        <v>706.64824578292257</v>
      </c>
      <c r="AB60">
        <v>706.64824578292257</v>
      </c>
      <c r="AC60">
        <v>706.64824578292257</v>
      </c>
      <c r="AD60">
        <v>732.70344456844998</v>
      </c>
      <c r="AE60">
        <v>732.70344456844998</v>
      </c>
      <c r="AF60">
        <v>732.70344456844998</v>
      </c>
      <c r="AG60">
        <v>59.815442392480868</v>
      </c>
      <c r="AH60">
        <v>59.815442392480868</v>
      </c>
      <c r="AI60">
        <v>59.815442392480868</v>
      </c>
      <c r="AJ60">
        <v>468.59961036562692</v>
      </c>
      <c r="AK60">
        <v>468.59961036562692</v>
      </c>
      <c r="AL60">
        <v>468.59961036562692</v>
      </c>
      <c r="AP60">
        <v>29.645899439046772</v>
      </c>
      <c r="AQ60">
        <v>29.645899439046772</v>
      </c>
      <c r="AR60">
        <v>29.645899439046772</v>
      </c>
      <c r="AS60">
        <v>3.0766275292103063E-2</v>
      </c>
      <c r="AT60">
        <v>3.0766275292103063E-2</v>
      </c>
      <c r="AU60">
        <v>3.0766275292103063E-2</v>
      </c>
      <c r="AV60" t="s">
        <v>435</v>
      </c>
      <c r="AW60" t="s">
        <v>225</v>
      </c>
      <c r="BC60" t="s">
        <v>15</v>
      </c>
    </row>
    <row r="61" spans="1:55" x14ac:dyDescent="0.45">
      <c r="A61" t="s">
        <v>87</v>
      </c>
      <c r="B61" t="s">
        <v>222</v>
      </c>
      <c r="C61" t="s">
        <v>377</v>
      </c>
      <c r="D61" t="s">
        <v>223</v>
      </c>
      <c r="E61" t="s">
        <v>106</v>
      </c>
      <c r="G61" t="s">
        <v>227</v>
      </c>
      <c r="I61">
        <v>100</v>
      </c>
      <c r="J61">
        <v>60</v>
      </c>
      <c r="K61">
        <v>180</v>
      </c>
      <c r="L61">
        <v>1</v>
      </c>
      <c r="N61">
        <v>0.1</v>
      </c>
      <c r="O61">
        <v>0.06</v>
      </c>
      <c r="P61">
        <v>0.18</v>
      </c>
      <c r="Q61">
        <v>4.62</v>
      </c>
      <c r="R61">
        <v>2.78</v>
      </c>
      <c r="S61">
        <v>8.32</v>
      </c>
      <c r="T61" t="s">
        <v>226</v>
      </c>
      <c r="U61" t="s">
        <v>387</v>
      </c>
      <c r="V61" t="s">
        <v>388</v>
      </c>
      <c r="W61" t="s">
        <v>365</v>
      </c>
      <c r="X61" t="s">
        <v>365</v>
      </c>
      <c r="Y61">
        <v>4.2000000000000003E-2</v>
      </c>
      <c r="Z61">
        <v>2380.9523809523807</v>
      </c>
      <c r="AA61">
        <v>8.9126533214270101</v>
      </c>
      <c r="AB61">
        <v>5.3475919928562057</v>
      </c>
      <c r="AC61">
        <v>16.042775978568617</v>
      </c>
      <c r="AD61">
        <v>10.816018591847159</v>
      </c>
      <c r="AE61">
        <v>6.4896111551082951</v>
      </c>
      <c r="AF61">
        <v>19.468833465324884</v>
      </c>
      <c r="AG61">
        <v>4.5779675938252673</v>
      </c>
      <c r="AH61">
        <v>2.7467805562951599</v>
      </c>
      <c r="AI61">
        <v>8.2403416688854794</v>
      </c>
      <c r="AJ61">
        <v>98.394467641187106</v>
      </c>
      <c r="AK61">
        <v>59.036680584712258</v>
      </c>
      <c r="AL61">
        <v>177.11004175413677</v>
      </c>
      <c r="AP61">
        <v>5.012082005968213</v>
      </c>
      <c r="AQ61">
        <v>3.007249203580928</v>
      </c>
      <c r="AR61">
        <v>9.0217476107427839</v>
      </c>
      <c r="AS61">
        <v>1.8062242068618824E-3</v>
      </c>
      <c r="AT61">
        <v>1.0837345241171293E-3</v>
      </c>
      <c r="AU61">
        <v>3.2512035723513879E-3</v>
      </c>
      <c r="AV61" t="s">
        <v>435</v>
      </c>
      <c r="AW61" t="s">
        <v>228</v>
      </c>
      <c r="BC61" t="s">
        <v>15</v>
      </c>
    </row>
    <row r="62" spans="1:55" x14ac:dyDescent="0.45">
      <c r="A62" t="s">
        <v>87</v>
      </c>
      <c r="B62" t="s">
        <v>222</v>
      </c>
      <c r="C62" t="s">
        <v>377</v>
      </c>
      <c r="D62" t="s">
        <v>223</v>
      </c>
      <c r="E62" t="s">
        <v>106</v>
      </c>
      <c r="G62" t="s">
        <v>229</v>
      </c>
      <c r="J62">
        <v>0</v>
      </c>
      <c r="K62">
        <v>0</v>
      </c>
      <c r="L62">
        <v>1</v>
      </c>
      <c r="N62">
        <v>0</v>
      </c>
      <c r="O62">
        <v>0</v>
      </c>
      <c r="P62">
        <v>0</v>
      </c>
      <c r="Q62">
        <v>30</v>
      </c>
      <c r="R62">
        <v>30</v>
      </c>
      <c r="S62">
        <v>30</v>
      </c>
      <c r="T62" t="s">
        <v>226</v>
      </c>
      <c r="U62" t="s">
        <v>436</v>
      </c>
      <c r="V62" t="s">
        <v>437</v>
      </c>
      <c r="W62" t="s">
        <v>423</v>
      </c>
      <c r="X62" t="s">
        <v>365</v>
      </c>
      <c r="Y62">
        <v>50</v>
      </c>
      <c r="Z62">
        <v>0</v>
      </c>
      <c r="AA62">
        <v>156.9172507207326</v>
      </c>
      <c r="AB62">
        <v>156.9172507207326</v>
      </c>
      <c r="AC62">
        <v>156.9172507207326</v>
      </c>
      <c r="AD62">
        <v>247.65458355884402</v>
      </c>
      <c r="AE62">
        <v>247.65458355884402</v>
      </c>
      <c r="AF62">
        <v>247.65458355884402</v>
      </c>
      <c r="AG62">
        <v>65.011005572263201</v>
      </c>
      <c r="AH62">
        <v>65.011005572263201</v>
      </c>
      <c r="AI62">
        <v>65.011005572263201</v>
      </c>
      <c r="AJ62">
        <v>916.78439140811997</v>
      </c>
      <c r="AK62">
        <v>916.78439140811997</v>
      </c>
      <c r="AL62">
        <v>916.78439140811997</v>
      </c>
      <c r="AP62">
        <v>27.420244131722967</v>
      </c>
      <c r="AQ62">
        <v>27.420244131722967</v>
      </c>
      <c r="AR62">
        <v>27.420244131722967</v>
      </c>
      <c r="AS62">
        <v>1.9179550258186965E-2</v>
      </c>
      <c r="AT62">
        <v>1.9179550258186965E-2</v>
      </c>
      <c r="AU62">
        <v>1.9179550258186965E-2</v>
      </c>
      <c r="AV62" t="s">
        <v>435</v>
      </c>
      <c r="AW62" t="s">
        <v>225</v>
      </c>
      <c r="AZ62" t="s">
        <v>423</v>
      </c>
      <c r="BC62" t="s">
        <v>15</v>
      </c>
    </row>
    <row r="63" spans="1:55" x14ac:dyDescent="0.45">
      <c r="A63" t="s">
        <v>87</v>
      </c>
      <c r="B63" t="s">
        <v>222</v>
      </c>
      <c r="C63" t="s">
        <v>362</v>
      </c>
      <c r="D63" t="s">
        <v>230</v>
      </c>
      <c r="E63" t="s">
        <v>109</v>
      </c>
      <c r="G63" t="s">
        <v>231</v>
      </c>
      <c r="I63">
        <v>300</v>
      </c>
      <c r="J63">
        <v>300</v>
      </c>
      <c r="K63">
        <v>300</v>
      </c>
      <c r="L63">
        <v>1</v>
      </c>
      <c r="N63">
        <v>0.3</v>
      </c>
      <c r="O63">
        <v>0.3</v>
      </c>
      <c r="P63">
        <v>0.3</v>
      </c>
      <c r="Q63">
        <v>720</v>
      </c>
      <c r="R63">
        <v>720</v>
      </c>
      <c r="S63">
        <v>720</v>
      </c>
      <c r="T63" t="s">
        <v>226</v>
      </c>
      <c r="U63" t="s">
        <v>371</v>
      </c>
      <c r="V63" t="s">
        <v>372</v>
      </c>
      <c r="W63" t="s">
        <v>365</v>
      </c>
      <c r="X63" t="s">
        <v>365</v>
      </c>
      <c r="Y63">
        <v>1.4</v>
      </c>
      <c r="Z63">
        <v>214.28571428571431</v>
      </c>
      <c r="AA63">
        <v>545.15049187433442</v>
      </c>
      <c r="AB63">
        <v>545.15049187433442</v>
      </c>
      <c r="AC63">
        <v>545.15049187433442</v>
      </c>
      <c r="AD63">
        <v>591.41349759573052</v>
      </c>
      <c r="AE63">
        <v>591.41349759573052</v>
      </c>
      <c r="AF63">
        <v>591.41349759573052</v>
      </c>
      <c r="AG63">
        <v>60.829263449980544</v>
      </c>
      <c r="AH63">
        <v>60.829263449980544</v>
      </c>
      <c r="AI63">
        <v>60.829263449980544</v>
      </c>
      <c r="AJ63">
        <v>404.7989216955844</v>
      </c>
      <c r="AK63">
        <v>404.7989216955844</v>
      </c>
      <c r="AL63">
        <v>404.7989216955844</v>
      </c>
      <c r="AP63">
        <v>30.926048843169628</v>
      </c>
      <c r="AQ63">
        <v>30.926048843169628</v>
      </c>
      <c r="AR63">
        <v>30.926048843169628</v>
      </c>
      <c r="AS63">
        <v>2.6091738479764114E-2</v>
      </c>
      <c r="AT63">
        <v>2.6091738479764114E-2</v>
      </c>
      <c r="AU63">
        <v>2.6091738479764114E-2</v>
      </c>
      <c r="AV63" t="s">
        <v>435</v>
      </c>
      <c r="AW63" t="s">
        <v>225</v>
      </c>
      <c r="BC63" t="s">
        <v>15</v>
      </c>
    </row>
    <row r="64" spans="1:55" x14ac:dyDescent="0.45">
      <c r="A64" t="s">
        <v>87</v>
      </c>
      <c r="B64" t="s">
        <v>222</v>
      </c>
      <c r="C64" t="s">
        <v>362</v>
      </c>
      <c r="D64" t="s">
        <v>230</v>
      </c>
      <c r="E64" t="s">
        <v>109</v>
      </c>
      <c r="G64" t="s">
        <v>227</v>
      </c>
      <c r="I64">
        <v>100</v>
      </c>
      <c r="J64">
        <v>60</v>
      </c>
      <c r="K64">
        <v>180</v>
      </c>
      <c r="L64">
        <v>1</v>
      </c>
      <c r="N64">
        <v>0.1</v>
      </c>
      <c r="O64">
        <v>0.06</v>
      </c>
      <c r="P64">
        <v>0.18</v>
      </c>
      <c r="Q64">
        <v>4.62</v>
      </c>
      <c r="R64">
        <v>2.78</v>
      </c>
      <c r="S64">
        <v>8.32</v>
      </c>
      <c r="T64" t="s">
        <v>226</v>
      </c>
      <c r="U64" t="s">
        <v>387</v>
      </c>
      <c r="V64" t="s">
        <v>388</v>
      </c>
      <c r="W64" t="s">
        <v>365</v>
      </c>
      <c r="X64" t="s">
        <v>365</v>
      </c>
      <c r="Y64">
        <v>4.2000000000000003E-2</v>
      </c>
      <c r="Z64">
        <v>2380.9523809523807</v>
      </c>
      <c r="AA64">
        <v>8.9126533214270101</v>
      </c>
      <c r="AB64">
        <v>5.3475919928562057</v>
      </c>
      <c r="AC64">
        <v>16.042775978568617</v>
      </c>
      <c r="AD64">
        <v>10.816018591847159</v>
      </c>
      <c r="AE64">
        <v>6.4896111551082951</v>
      </c>
      <c r="AF64">
        <v>19.468833465324884</v>
      </c>
      <c r="AG64">
        <v>4.5779675938252673</v>
      </c>
      <c r="AH64">
        <v>2.7467805562951599</v>
      </c>
      <c r="AI64">
        <v>8.2403416688854794</v>
      </c>
      <c r="AJ64">
        <v>98.394467641187106</v>
      </c>
      <c r="AK64">
        <v>59.036680584712258</v>
      </c>
      <c r="AL64">
        <v>177.11004175413677</v>
      </c>
      <c r="AP64">
        <v>5.012082005968213</v>
      </c>
      <c r="AQ64">
        <v>3.007249203580928</v>
      </c>
      <c r="AR64">
        <v>9.0217476107427839</v>
      </c>
      <c r="AS64">
        <v>1.8062242068618824E-3</v>
      </c>
      <c r="AT64">
        <v>1.0837345241171293E-3</v>
      </c>
      <c r="AU64">
        <v>3.2512035723513879E-3</v>
      </c>
      <c r="AV64" t="s">
        <v>435</v>
      </c>
      <c r="AW64" t="s">
        <v>228</v>
      </c>
      <c r="BC64" t="s">
        <v>15</v>
      </c>
    </row>
    <row r="65" spans="1:55" x14ac:dyDescent="0.45">
      <c r="A65" t="s">
        <v>87</v>
      </c>
      <c r="B65" t="s">
        <v>222</v>
      </c>
      <c r="C65" t="s">
        <v>362</v>
      </c>
      <c r="D65" t="s">
        <v>230</v>
      </c>
      <c r="E65" t="s">
        <v>109</v>
      </c>
      <c r="G65" t="s">
        <v>229</v>
      </c>
      <c r="J65">
        <v>0</v>
      </c>
      <c r="K65">
        <v>0</v>
      </c>
      <c r="L65">
        <v>1</v>
      </c>
      <c r="N65">
        <v>0</v>
      </c>
      <c r="O65">
        <v>0</v>
      </c>
      <c r="P65">
        <v>0</v>
      </c>
      <c r="Q65">
        <v>30</v>
      </c>
      <c r="R65">
        <v>30</v>
      </c>
      <c r="S65">
        <v>30</v>
      </c>
      <c r="T65" t="s">
        <v>226</v>
      </c>
      <c r="U65" t="s">
        <v>436</v>
      </c>
      <c r="V65" t="s">
        <v>437</v>
      </c>
      <c r="W65" t="s">
        <v>423</v>
      </c>
      <c r="X65" t="s">
        <v>365</v>
      </c>
      <c r="Y65">
        <v>50</v>
      </c>
      <c r="Z65">
        <v>0</v>
      </c>
      <c r="AA65">
        <v>156.9172507207326</v>
      </c>
      <c r="AB65">
        <v>156.9172507207326</v>
      </c>
      <c r="AC65">
        <v>156.9172507207326</v>
      </c>
      <c r="AD65">
        <v>247.65458355884402</v>
      </c>
      <c r="AE65">
        <v>247.65458355884402</v>
      </c>
      <c r="AF65">
        <v>247.65458355884402</v>
      </c>
      <c r="AG65">
        <v>65.011005572263201</v>
      </c>
      <c r="AH65">
        <v>65.011005572263201</v>
      </c>
      <c r="AI65">
        <v>65.011005572263201</v>
      </c>
      <c r="AJ65">
        <v>916.78439140811997</v>
      </c>
      <c r="AK65">
        <v>916.78439140811997</v>
      </c>
      <c r="AL65">
        <v>916.78439140811997</v>
      </c>
      <c r="AP65">
        <v>27.420244131722967</v>
      </c>
      <c r="AQ65">
        <v>27.420244131722967</v>
      </c>
      <c r="AR65">
        <v>27.420244131722967</v>
      </c>
      <c r="AS65">
        <v>1.9179550258186965E-2</v>
      </c>
      <c r="AT65">
        <v>1.9179550258186965E-2</v>
      </c>
      <c r="AU65">
        <v>1.9179550258186965E-2</v>
      </c>
      <c r="AV65" t="s">
        <v>435</v>
      </c>
      <c r="AW65" t="s">
        <v>225</v>
      </c>
      <c r="AZ65" t="s">
        <v>423</v>
      </c>
      <c r="BC65" t="s">
        <v>15</v>
      </c>
    </row>
    <row r="66" spans="1:55" x14ac:dyDescent="0.45">
      <c r="A66" t="s">
        <v>120</v>
      </c>
      <c r="B66" t="s">
        <v>232</v>
      </c>
      <c r="C66" t="s">
        <v>377</v>
      </c>
      <c r="D66" t="s">
        <v>233</v>
      </c>
      <c r="E66" t="s">
        <v>121</v>
      </c>
      <c r="G66" t="s">
        <v>234</v>
      </c>
      <c r="J66">
        <v>0</v>
      </c>
      <c r="K66">
        <v>0</v>
      </c>
      <c r="L66">
        <v>1</v>
      </c>
      <c r="N66">
        <v>0</v>
      </c>
      <c r="O66">
        <v>0</v>
      </c>
      <c r="P66">
        <v>0</v>
      </c>
      <c r="Q66">
        <v>37.5</v>
      </c>
      <c r="R66">
        <v>37.5</v>
      </c>
      <c r="S66">
        <v>37.5</v>
      </c>
      <c r="T66" t="s">
        <v>226</v>
      </c>
      <c r="U66" t="s">
        <v>438</v>
      </c>
      <c r="V66" t="s">
        <v>365</v>
      </c>
      <c r="W66" t="s">
        <v>365</v>
      </c>
      <c r="X66" t="s">
        <v>439</v>
      </c>
      <c r="Y66">
        <v>0</v>
      </c>
      <c r="AA66">
        <v>337.16441522880586</v>
      </c>
      <c r="AB66">
        <v>337.16441522880586</v>
      </c>
      <c r="AC66">
        <v>337.16441522880586</v>
      </c>
      <c r="AD66">
        <v>0</v>
      </c>
      <c r="AE66">
        <v>0</v>
      </c>
      <c r="AF66">
        <v>0</v>
      </c>
      <c r="AG66">
        <v>147.92889814445365</v>
      </c>
      <c r="AH66">
        <v>147.92889814445365</v>
      </c>
      <c r="AI66">
        <v>147.92889814445365</v>
      </c>
      <c r="AJ66">
        <v>2268.8821976397385</v>
      </c>
      <c r="AK66">
        <v>2268.8821976397385</v>
      </c>
      <c r="AL66">
        <v>2268.8821976397385</v>
      </c>
      <c r="AP66">
        <v>86.198059095900007</v>
      </c>
      <c r="AQ66">
        <v>86.198059095900007</v>
      </c>
      <c r="AR66">
        <v>86.198059095900007</v>
      </c>
      <c r="AS66">
        <v>4.6508343456039054E-2</v>
      </c>
      <c r="AT66">
        <v>4.6508343456039054E-2</v>
      </c>
      <c r="AU66">
        <v>4.6508343456039054E-2</v>
      </c>
      <c r="AV66" t="s">
        <v>435</v>
      </c>
      <c r="AW66" t="s">
        <v>225</v>
      </c>
      <c r="AX66" t="s">
        <v>377</v>
      </c>
      <c r="BC66" t="s">
        <v>15</v>
      </c>
    </row>
    <row r="67" spans="1:55" x14ac:dyDescent="0.45">
      <c r="A67" t="s">
        <v>120</v>
      </c>
      <c r="B67" t="s">
        <v>232</v>
      </c>
      <c r="C67" t="s">
        <v>362</v>
      </c>
      <c r="D67" t="s">
        <v>235</v>
      </c>
      <c r="E67" t="s">
        <v>122</v>
      </c>
      <c r="G67" t="s">
        <v>236</v>
      </c>
      <c r="J67">
        <v>0</v>
      </c>
      <c r="K67">
        <v>0</v>
      </c>
      <c r="L67">
        <v>1</v>
      </c>
      <c r="N67">
        <v>0</v>
      </c>
      <c r="O67">
        <v>0</v>
      </c>
      <c r="P67">
        <v>0</v>
      </c>
      <c r="Q67">
        <v>37.5</v>
      </c>
      <c r="R67">
        <v>37.5</v>
      </c>
      <c r="S67">
        <v>37.5</v>
      </c>
      <c r="T67" t="s">
        <v>226</v>
      </c>
      <c r="U67" t="s">
        <v>440</v>
      </c>
      <c r="V67" t="s">
        <v>365</v>
      </c>
      <c r="W67" t="s">
        <v>365</v>
      </c>
      <c r="X67" t="s">
        <v>439</v>
      </c>
      <c r="Y67">
        <v>0</v>
      </c>
      <c r="AA67">
        <v>0</v>
      </c>
      <c r="AB67">
        <v>0</v>
      </c>
      <c r="AC67">
        <v>0</v>
      </c>
      <c r="AD67">
        <v>0</v>
      </c>
      <c r="AE67">
        <v>0</v>
      </c>
      <c r="AF67">
        <v>0</v>
      </c>
      <c r="AG67">
        <v>0</v>
      </c>
      <c r="AH67">
        <v>0</v>
      </c>
      <c r="AI67">
        <v>0</v>
      </c>
      <c r="AJ67">
        <v>0</v>
      </c>
      <c r="AK67">
        <v>0</v>
      </c>
      <c r="AL67">
        <v>0</v>
      </c>
      <c r="AP67">
        <v>0</v>
      </c>
      <c r="AQ67">
        <v>0</v>
      </c>
      <c r="AR67">
        <v>0</v>
      </c>
      <c r="AS67">
        <v>0</v>
      </c>
      <c r="AT67">
        <v>0</v>
      </c>
      <c r="AU67">
        <v>0</v>
      </c>
      <c r="AV67" t="s">
        <v>435</v>
      </c>
      <c r="AW67" t="s">
        <v>225</v>
      </c>
      <c r="AX67" t="s">
        <v>377</v>
      </c>
      <c r="BC67" t="s">
        <v>15</v>
      </c>
    </row>
    <row r="68" spans="1:55" x14ac:dyDescent="0.45">
      <c r="A68" t="s">
        <v>123</v>
      </c>
      <c r="B68" t="s">
        <v>237</v>
      </c>
      <c r="C68" t="s">
        <v>377</v>
      </c>
      <c r="D68" t="s">
        <v>238</v>
      </c>
      <c r="E68" t="s">
        <v>124</v>
      </c>
      <c r="F68" t="s">
        <v>239</v>
      </c>
      <c r="G68" t="s">
        <v>240</v>
      </c>
      <c r="I68">
        <v>125</v>
      </c>
      <c r="J68">
        <v>125</v>
      </c>
      <c r="K68">
        <v>125</v>
      </c>
      <c r="L68">
        <v>1</v>
      </c>
      <c r="N68">
        <v>0.12</v>
      </c>
      <c r="O68">
        <v>0.12</v>
      </c>
      <c r="P68">
        <v>0.12</v>
      </c>
      <c r="Q68">
        <v>100</v>
      </c>
      <c r="R68">
        <v>100</v>
      </c>
      <c r="S68">
        <v>100</v>
      </c>
      <c r="T68" t="s">
        <v>226</v>
      </c>
      <c r="U68" t="s">
        <v>392</v>
      </c>
      <c r="V68" t="s">
        <v>393</v>
      </c>
      <c r="W68" t="s">
        <v>394</v>
      </c>
      <c r="X68" t="s">
        <v>365</v>
      </c>
      <c r="Y68">
        <v>0.2</v>
      </c>
      <c r="Z68">
        <v>625</v>
      </c>
      <c r="AA68">
        <v>96.885190926662105</v>
      </c>
      <c r="AB68">
        <v>96.885190926662105</v>
      </c>
      <c r="AC68">
        <v>96.885190926662105</v>
      </c>
      <c r="AD68">
        <v>105.04992021872901</v>
      </c>
      <c r="AE68">
        <v>105.04992021872901</v>
      </c>
      <c r="AF68">
        <v>105.04992021872901</v>
      </c>
      <c r="AG68">
        <v>25.140556386449695</v>
      </c>
      <c r="AH68">
        <v>25.140556386449695</v>
      </c>
      <c r="AI68">
        <v>25.140556386449695</v>
      </c>
      <c r="AJ68">
        <v>385.609909169177</v>
      </c>
      <c r="AK68">
        <v>385.609909169177</v>
      </c>
      <c r="AL68">
        <v>385.609909169177</v>
      </c>
      <c r="AP68">
        <v>12.506783392176498</v>
      </c>
      <c r="AQ68">
        <v>12.506783392176498</v>
      </c>
      <c r="AR68">
        <v>12.506783392176498</v>
      </c>
      <c r="AS68">
        <v>8.799079409860926E-3</v>
      </c>
      <c r="AT68">
        <v>8.799079409860926E-3</v>
      </c>
      <c r="AU68">
        <v>8.799079409860926E-3</v>
      </c>
      <c r="AV68" t="s">
        <v>435</v>
      </c>
      <c r="AW68" t="s">
        <v>225</v>
      </c>
      <c r="BC68" t="s">
        <v>15</v>
      </c>
    </row>
    <row r="69" spans="1:55" x14ac:dyDescent="0.45">
      <c r="A69" t="s">
        <v>123</v>
      </c>
      <c r="B69" t="s">
        <v>237</v>
      </c>
      <c r="C69" t="s">
        <v>377</v>
      </c>
      <c r="D69" t="s">
        <v>238</v>
      </c>
      <c r="E69" t="s">
        <v>124</v>
      </c>
      <c r="F69" t="s">
        <v>241</v>
      </c>
      <c r="G69" t="s">
        <v>227</v>
      </c>
      <c r="I69">
        <v>100</v>
      </c>
      <c r="J69">
        <v>60</v>
      </c>
      <c r="K69">
        <v>180</v>
      </c>
      <c r="L69">
        <v>1</v>
      </c>
      <c r="N69">
        <v>0.1</v>
      </c>
      <c r="O69">
        <v>0.06</v>
      </c>
      <c r="P69">
        <v>0.18</v>
      </c>
      <c r="Q69">
        <v>4.62</v>
      </c>
      <c r="R69">
        <v>2.78</v>
      </c>
      <c r="S69">
        <v>8.32</v>
      </c>
      <c r="T69" t="s">
        <v>226</v>
      </c>
      <c r="U69" t="s">
        <v>387</v>
      </c>
      <c r="V69" t="s">
        <v>388</v>
      </c>
      <c r="W69" t="s">
        <v>365</v>
      </c>
      <c r="X69" t="s">
        <v>365</v>
      </c>
      <c r="Y69">
        <v>4.2000000000000003E-2</v>
      </c>
      <c r="Z69">
        <v>2380.9523809523807</v>
      </c>
      <c r="AA69">
        <v>8.9126533214270101</v>
      </c>
      <c r="AB69">
        <v>5.3475919928562057</v>
      </c>
      <c r="AC69">
        <v>16.042775978568617</v>
      </c>
      <c r="AD69">
        <v>10.816018591847159</v>
      </c>
      <c r="AE69">
        <v>6.4896111551082951</v>
      </c>
      <c r="AF69">
        <v>19.468833465324884</v>
      </c>
      <c r="AG69">
        <v>4.5779675938252673</v>
      </c>
      <c r="AH69">
        <v>2.7467805562951599</v>
      </c>
      <c r="AI69">
        <v>8.2403416688854794</v>
      </c>
      <c r="AJ69">
        <v>98.394467641187106</v>
      </c>
      <c r="AK69">
        <v>59.036680584712258</v>
      </c>
      <c r="AL69">
        <v>177.11004175413677</v>
      </c>
      <c r="AP69">
        <v>5.012082005968213</v>
      </c>
      <c r="AQ69">
        <v>3.007249203580928</v>
      </c>
      <c r="AR69">
        <v>9.0217476107427839</v>
      </c>
      <c r="AS69">
        <v>1.8062242068618824E-3</v>
      </c>
      <c r="AT69">
        <v>1.0837345241171293E-3</v>
      </c>
      <c r="AU69">
        <v>3.2512035723513879E-3</v>
      </c>
      <c r="AV69" t="s">
        <v>435</v>
      </c>
      <c r="AW69" t="s">
        <v>228</v>
      </c>
      <c r="BC69" t="s">
        <v>15</v>
      </c>
    </row>
    <row r="70" spans="1:55" x14ac:dyDescent="0.45">
      <c r="A70" t="s">
        <v>53</v>
      </c>
      <c r="B70" t="s">
        <v>302</v>
      </c>
      <c r="C70" t="s">
        <v>362</v>
      </c>
      <c r="D70" t="s">
        <v>303</v>
      </c>
      <c r="E70" t="s">
        <v>86</v>
      </c>
      <c r="F70" t="s">
        <v>322</v>
      </c>
      <c r="G70" t="s">
        <v>229</v>
      </c>
      <c r="H70" t="s">
        <v>225</v>
      </c>
      <c r="I70">
        <v>400</v>
      </c>
      <c r="J70">
        <v>400</v>
      </c>
      <c r="K70">
        <v>400</v>
      </c>
      <c r="L70">
        <v>0.01</v>
      </c>
      <c r="N70">
        <v>0</v>
      </c>
      <c r="O70">
        <v>0</v>
      </c>
      <c r="P70">
        <v>0</v>
      </c>
      <c r="Q70">
        <v>18.12</v>
      </c>
      <c r="R70">
        <v>18.12</v>
      </c>
      <c r="S70">
        <v>18.12</v>
      </c>
      <c r="T70" t="s">
        <v>441</v>
      </c>
      <c r="U70" t="s">
        <v>436</v>
      </c>
      <c r="V70" t="s">
        <v>437</v>
      </c>
      <c r="W70" t="s">
        <v>365</v>
      </c>
      <c r="X70" t="s">
        <v>365</v>
      </c>
      <c r="Y70">
        <v>50</v>
      </c>
      <c r="Z70">
        <v>8</v>
      </c>
      <c r="AA70">
        <v>94.753878319826995</v>
      </c>
      <c r="AB70">
        <v>94.753878319826995</v>
      </c>
      <c r="AC70">
        <v>94.753878319826995</v>
      </c>
      <c r="AD70">
        <v>149.54526776437891</v>
      </c>
      <c r="AE70">
        <v>149.54526776437891</v>
      </c>
      <c r="AF70">
        <v>149.54526776437891</v>
      </c>
      <c r="AG70">
        <v>39.256645672482009</v>
      </c>
      <c r="AH70">
        <v>39.256645672482009</v>
      </c>
      <c r="AI70">
        <v>39.256645672482009</v>
      </c>
      <c r="AJ70">
        <v>553.59672865798018</v>
      </c>
      <c r="AK70">
        <v>553.59672865798018</v>
      </c>
      <c r="AL70">
        <v>553.59672865798018</v>
      </c>
      <c r="AP70">
        <v>16.557608956463486</v>
      </c>
      <c r="AQ70">
        <v>16.557608956463486</v>
      </c>
      <c r="AR70">
        <v>16.557608956463486</v>
      </c>
      <c r="AS70">
        <v>1.1581497655905205E-2</v>
      </c>
      <c r="AT70">
        <v>1.1581497655905205E-2</v>
      </c>
      <c r="AU70">
        <v>1.1581497655905205E-2</v>
      </c>
      <c r="BC70" t="s">
        <v>15</v>
      </c>
    </row>
    <row r="71" spans="1:55" x14ac:dyDescent="0.45">
      <c r="A71" t="s">
        <v>53</v>
      </c>
      <c r="B71" t="s">
        <v>306</v>
      </c>
      <c r="C71" t="s">
        <v>377</v>
      </c>
      <c r="D71" t="s">
        <v>303</v>
      </c>
      <c r="E71" t="s">
        <v>71</v>
      </c>
      <c r="F71" t="s">
        <v>322</v>
      </c>
      <c r="G71" t="s">
        <v>229</v>
      </c>
      <c r="H71" t="s">
        <v>225</v>
      </c>
      <c r="I71">
        <v>400</v>
      </c>
      <c r="J71">
        <v>400</v>
      </c>
      <c r="K71">
        <v>400</v>
      </c>
      <c r="L71">
        <v>0.01</v>
      </c>
      <c r="N71">
        <v>0</v>
      </c>
      <c r="O71">
        <v>0</v>
      </c>
      <c r="P71">
        <v>0</v>
      </c>
      <c r="Q71">
        <v>18.12</v>
      </c>
      <c r="R71">
        <v>18.12</v>
      </c>
      <c r="S71">
        <v>18.12</v>
      </c>
      <c r="T71" t="s">
        <v>441</v>
      </c>
      <c r="U71" t="s">
        <v>436</v>
      </c>
      <c r="V71" t="s">
        <v>437</v>
      </c>
      <c r="W71" t="s">
        <v>365</v>
      </c>
      <c r="X71" t="s">
        <v>365</v>
      </c>
      <c r="Y71">
        <v>50</v>
      </c>
      <c r="Z71">
        <v>8</v>
      </c>
      <c r="AA71">
        <v>94.753878319826995</v>
      </c>
      <c r="AB71">
        <v>94.753878319826995</v>
      </c>
      <c r="AC71">
        <v>94.753878319826995</v>
      </c>
      <c r="AD71">
        <v>149.54526776437891</v>
      </c>
      <c r="AE71">
        <v>149.54526776437891</v>
      </c>
      <c r="AF71">
        <v>149.54526776437891</v>
      </c>
      <c r="AG71">
        <v>39.256645672482009</v>
      </c>
      <c r="AH71">
        <v>39.256645672482009</v>
      </c>
      <c r="AI71">
        <v>39.256645672482009</v>
      </c>
      <c r="AJ71">
        <v>553.59672865798018</v>
      </c>
      <c r="AK71">
        <v>553.59672865798018</v>
      </c>
      <c r="AL71">
        <v>553.59672865798018</v>
      </c>
      <c r="AP71">
        <v>16.557608956463486</v>
      </c>
      <c r="AQ71">
        <v>16.557608956463486</v>
      </c>
      <c r="AR71">
        <v>16.557608956463486</v>
      </c>
      <c r="AS71">
        <v>1.1581497655905205E-2</v>
      </c>
      <c r="AT71">
        <v>1.1581497655905205E-2</v>
      </c>
      <c r="AU71">
        <v>1.1581497655905205E-2</v>
      </c>
      <c r="BC71" t="s">
        <v>15</v>
      </c>
    </row>
    <row r="72" spans="1:55" x14ac:dyDescent="0.45">
      <c r="A72" t="s">
        <v>87</v>
      </c>
      <c r="B72" t="s">
        <v>325</v>
      </c>
      <c r="C72" t="s">
        <v>407</v>
      </c>
      <c r="D72" t="s">
        <v>312</v>
      </c>
      <c r="E72" t="s">
        <v>102</v>
      </c>
      <c r="F72" t="s">
        <v>243</v>
      </c>
      <c r="G72" t="s">
        <v>243</v>
      </c>
      <c r="H72" t="s">
        <v>225</v>
      </c>
      <c r="I72">
        <v>120</v>
      </c>
      <c r="J72">
        <v>120</v>
      </c>
      <c r="K72">
        <v>120</v>
      </c>
      <c r="L72">
        <v>0.2</v>
      </c>
      <c r="N72">
        <v>0.02</v>
      </c>
      <c r="O72">
        <v>0.02</v>
      </c>
      <c r="P72">
        <v>0.02</v>
      </c>
      <c r="Q72">
        <v>11.83</v>
      </c>
      <c r="R72">
        <v>11.83</v>
      </c>
      <c r="S72">
        <v>11.83</v>
      </c>
      <c r="T72" t="s">
        <v>442</v>
      </c>
      <c r="U72" t="s">
        <v>443</v>
      </c>
      <c r="V72" t="s">
        <v>444</v>
      </c>
      <c r="W72" t="s">
        <v>365</v>
      </c>
      <c r="X72" t="s">
        <v>365</v>
      </c>
      <c r="Y72">
        <v>0.1</v>
      </c>
      <c r="Z72">
        <v>1200</v>
      </c>
      <c r="AA72">
        <v>23.922847238298257</v>
      </c>
      <c r="AB72">
        <v>23.922847238298257</v>
      </c>
      <c r="AC72">
        <v>23.922847238298257</v>
      </c>
      <c r="AD72">
        <v>27.693245889371099</v>
      </c>
      <c r="AE72">
        <v>27.693245889371099</v>
      </c>
      <c r="AF72">
        <v>27.693245889371099</v>
      </c>
      <c r="AG72">
        <v>2.4910172086284685</v>
      </c>
      <c r="AH72">
        <v>2.4910172086284685</v>
      </c>
      <c r="AI72">
        <v>2.4910172086284685</v>
      </c>
      <c r="AJ72">
        <v>45.106194662661636</v>
      </c>
      <c r="AK72">
        <v>45.106194662661636</v>
      </c>
      <c r="AL72">
        <v>45.106194662661636</v>
      </c>
      <c r="AP72">
        <v>1.0048021680413088</v>
      </c>
      <c r="AQ72">
        <v>1.0048021680413088</v>
      </c>
      <c r="AR72">
        <v>1.0048021680413088</v>
      </c>
      <c r="AS72">
        <v>1.2927542633527267E-3</v>
      </c>
      <c r="AT72">
        <v>1.2927542633527267E-3</v>
      </c>
      <c r="AU72">
        <v>1.2927542633527267E-3</v>
      </c>
      <c r="BC72" t="s">
        <v>15</v>
      </c>
    </row>
    <row r="73" spans="1:55" x14ac:dyDescent="0.45">
      <c r="A73" t="s">
        <v>87</v>
      </c>
      <c r="B73" t="s">
        <v>325</v>
      </c>
      <c r="C73" t="s">
        <v>407</v>
      </c>
      <c r="D73" t="s">
        <v>312</v>
      </c>
      <c r="E73" t="s">
        <v>102</v>
      </c>
      <c r="F73" t="s">
        <v>331</v>
      </c>
      <c r="G73" t="s">
        <v>227</v>
      </c>
      <c r="H73" t="s">
        <v>228</v>
      </c>
      <c r="I73">
        <v>120</v>
      </c>
      <c r="J73">
        <v>80</v>
      </c>
      <c r="K73">
        <v>200</v>
      </c>
      <c r="L73">
        <v>0.86</v>
      </c>
      <c r="N73">
        <v>0.1</v>
      </c>
      <c r="O73">
        <v>7.0000000000000007E-2</v>
      </c>
      <c r="P73">
        <v>0.17</v>
      </c>
      <c r="Q73">
        <v>4.7699999999999996</v>
      </c>
      <c r="R73">
        <v>3.18</v>
      </c>
      <c r="S73">
        <v>7.96</v>
      </c>
      <c r="T73" t="s">
        <v>227</v>
      </c>
      <c r="U73" t="s">
        <v>387</v>
      </c>
      <c r="V73" t="s">
        <v>388</v>
      </c>
      <c r="W73" t="s">
        <v>365</v>
      </c>
      <c r="X73" t="s">
        <v>365</v>
      </c>
      <c r="Y73">
        <v>4.2000000000000003E-2</v>
      </c>
      <c r="Z73">
        <v>2857.1428571428569</v>
      </c>
      <c r="AA73">
        <v>9.1978582277126737</v>
      </c>
      <c r="AB73">
        <v>6.1319054851417825</v>
      </c>
      <c r="AC73">
        <v>15.32976371285446</v>
      </c>
      <c r="AD73">
        <v>11.162131186786267</v>
      </c>
      <c r="AE73">
        <v>7.4414207911908452</v>
      </c>
      <c r="AF73">
        <v>18.603551977977116</v>
      </c>
      <c r="AG73">
        <v>4.7244625568276755</v>
      </c>
      <c r="AH73">
        <v>3.1496417045517835</v>
      </c>
      <c r="AI73">
        <v>7.8741042613794603</v>
      </c>
      <c r="AJ73">
        <v>101.54309060570509</v>
      </c>
      <c r="AK73">
        <v>67.695393737136726</v>
      </c>
      <c r="AL73">
        <v>169.23848434284184</v>
      </c>
      <c r="AP73">
        <v>5.1724686301591962</v>
      </c>
      <c r="AQ73">
        <v>3.4483124201061308</v>
      </c>
      <c r="AR73">
        <v>8.6207810502653288</v>
      </c>
      <c r="AS73">
        <v>1.8640233814814628E-3</v>
      </c>
      <c r="AT73">
        <v>1.242682254320975E-3</v>
      </c>
      <c r="AU73">
        <v>3.106705635802438E-3</v>
      </c>
      <c r="BC73" t="s">
        <v>15</v>
      </c>
    </row>
    <row r="74" spans="1:55" x14ac:dyDescent="0.45">
      <c r="A74" t="s">
        <v>87</v>
      </c>
      <c r="B74" t="s">
        <v>325</v>
      </c>
      <c r="C74" t="s">
        <v>410</v>
      </c>
      <c r="D74" t="s">
        <v>275</v>
      </c>
      <c r="E74" t="s">
        <v>103</v>
      </c>
      <c r="F74" t="s">
        <v>243</v>
      </c>
      <c r="G74" t="s">
        <v>243</v>
      </c>
      <c r="H74" t="s">
        <v>225</v>
      </c>
      <c r="I74">
        <v>240</v>
      </c>
      <c r="J74">
        <v>240</v>
      </c>
      <c r="K74">
        <v>240</v>
      </c>
      <c r="L74">
        <v>0.2</v>
      </c>
      <c r="N74">
        <v>0.05</v>
      </c>
      <c r="O74">
        <v>0.05</v>
      </c>
      <c r="P74">
        <v>0.05</v>
      </c>
      <c r="Q74">
        <v>23.66</v>
      </c>
      <c r="R74">
        <v>23.66</v>
      </c>
      <c r="S74">
        <v>23.66</v>
      </c>
      <c r="T74" t="s">
        <v>445</v>
      </c>
      <c r="U74" t="s">
        <v>443</v>
      </c>
      <c r="V74" t="s">
        <v>444</v>
      </c>
      <c r="W74" t="s">
        <v>365</v>
      </c>
      <c r="X74" t="s">
        <v>365</v>
      </c>
      <c r="Y74">
        <v>0.1</v>
      </c>
      <c r="Z74">
        <v>2400</v>
      </c>
      <c r="AA74">
        <v>47.845694476596513</v>
      </c>
      <c r="AB74">
        <v>47.845694476596513</v>
      </c>
      <c r="AC74">
        <v>47.845694476596513</v>
      </c>
      <c r="AD74">
        <v>55.386491778742197</v>
      </c>
      <c r="AE74">
        <v>55.386491778742197</v>
      </c>
      <c r="AF74">
        <v>55.386491778742197</v>
      </c>
      <c r="AG74">
        <v>4.9820344172569371</v>
      </c>
      <c r="AH74">
        <v>4.9820344172569371</v>
      </c>
      <c r="AI74">
        <v>4.9820344172569371</v>
      </c>
      <c r="AJ74">
        <v>90.212389325323272</v>
      </c>
      <c r="AK74">
        <v>90.212389325323272</v>
      </c>
      <c r="AL74">
        <v>90.212389325323272</v>
      </c>
      <c r="AP74">
        <v>2.0096043360826177</v>
      </c>
      <c r="AQ74">
        <v>2.0096043360826177</v>
      </c>
      <c r="AR74">
        <v>2.0096043360826177</v>
      </c>
      <c r="AS74">
        <v>2.5855085267054534E-3</v>
      </c>
      <c r="AT74">
        <v>2.5855085267054534E-3</v>
      </c>
      <c r="AU74">
        <v>2.5855085267054534E-3</v>
      </c>
      <c r="BC74" t="s">
        <v>15</v>
      </c>
    </row>
    <row r="75" spans="1:55" x14ac:dyDescent="0.45">
      <c r="A75" t="s">
        <v>87</v>
      </c>
      <c r="B75" t="s">
        <v>325</v>
      </c>
      <c r="C75" t="s">
        <v>410</v>
      </c>
      <c r="D75" t="s">
        <v>275</v>
      </c>
      <c r="E75" t="s">
        <v>103</v>
      </c>
      <c r="F75" t="s">
        <v>241</v>
      </c>
      <c r="G75" t="s">
        <v>275</v>
      </c>
      <c r="H75" t="s">
        <v>228</v>
      </c>
      <c r="I75">
        <v>240</v>
      </c>
      <c r="J75">
        <v>200</v>
      </c>
      <c r="K75">
        <v>320</v>
      </c>
      <c r="L75">
        <v>0.8</v>
      </c>
      <c r="N75">
        <v>0.19</v>
      </c>
      <c r="O75">
        <v>0.16</v>
      </c>
      <c r="P75">
        <v>0.26</v>
      </c>
      <c r="Q75">
        <v>19.2</v>
      </c>
      <c r="R75">
        <v>16</v>
      </c>
      <c r="S75">
        <v>25.6</v>
      </c>
      <c r="T75" t="s">
        <v>227</v>
      </c>
      <c r="U75" t="s">
        <v>446</v>
      </c>
      <c r="V75" t="s">
        <v>352</v>
      </c>
      <c r="W75" t="s">
        <v>365</v>
      </c>
      <c r="X75" t="s">
        <v>365</v>
      </c>
      <c r="Y75">
        <v>4.8000000000000001E-2</v>
      </c>
      <c r="Z75">
        <v>5000</v>
      </c>
      <c r="AA75">
        <v>22.863970280256815</v>
      </c>
      <c r="AB75">
        <v>19.053308566880684</v>
      </c>
      <c r="AC75">
        <v>30.485293707009092</v>
      </c>
      <c r="AD75">
        <v>23.317698998791311</v>
      </c>
      <c r="AE75">
        <v>19.431415832326095</v>
      </c>
      <c r="AF75">
        <v>31.090265331721749</v>
      </c>
      <c r="AG75">
        <v>2.3041256643564672</v>
      </c>
      <c r="AH75">
        <v>1.9201047202970565</v>
      </c>
      <c r="AI75">
        <v>3.0721675524752898</v>
      </c>
      <c r="AJ75">
        <v>19.443708284156351</v>
      </c>
      <c r="AK75">
        <v>16.203090236796964</v>
      </c>
      <c r="AL75">
        <v>25.924944378875139</v>
      </c>
      <c r="AP75">
        <v>2.0273707119804096</v>
      </c>
      <c r="AQ75">
        <v>1.6894755933170085</v>
      </c>
      <c r="AR75">
        <v>2.7031609493072128</v>
      </c>
      <c r="AS75">
        <v>1.154073950311169E-3</v>
      </c>
      <c r="AT75">
        <v>9.617282919259743E-4</v>
      </c>
      <c r="AU75">
        <v>1.5387652670815588E-3</v>
      </c>
      <c r="BC75" t="s">
        <v>15</v>
      </c>
    </row>
    <row r="76" spans="1:55" x14ac:dyDescent="0.45">
      <c r="A76" t="s">
        <v>87</v>
      </c>
      <c r="B76" t="s">
        <v>336</v>
      </c>
      <c r="C76" t="s">
        <v>365</v>
      </c>
      <c r="D76" t="s">
        <v>10</v>
      </c>
      <c r="E76" t="s">
        <v>89</v>
      </c>
      <c r="F76" t="s">
        <v>353</v>
      </c>
      <c r="G76" t="s">
        <v>354</v>
      </c>
      <c r="H76" t="s">
        <v>225</v>
      </c>
      <c r="I76">
        <v>125</v>
      </c>
      <c r="J76">
        <v>125</v>
      </c>
      <c r="K76">
        <v>125</v>
      </c>
      <c r="L76">
        <v>0.08</v>
      </c>
      <c r="M76">
        <v>1.67</v>
      </c>
      <c r="N76">
        <v>0.01</v>
      </c>
      <c r="O76">
        <v>0.01</v>
      </c>
      <c r="P76">
        <v>0.01</v>
      </c>
      <c r="Q76">
        <v>9.5</v>
      </c>
      <c r="R76">
        <v>9.5</v>
      </c>
      <c r="S76">
        <v>9.5</v>
      </c>
      <c r="T76" t="s">
        <v>447</v>
      </c>
      <c r="U76" t="s">
        <v>448</v>
      </c>
      <c r="V76" t="s">
        <v>365</v>
      </c>
      <c r="W76" t="s">
        <v>365</v>
      </c>
      <c r="X76" t="s">
        <v>449</v>
      </c>
      <c r="Y76">
        <v>0</v>
      </c>
      <c r="AA76">
        <v>145.64398110052281</v>
      </c>
      <c r="AB76">
        <v>145.64398110052281</v>
      </c>
      <c r="AC76">
        <v>145.64398110052281</v>
      </c>
      <c r="AD76">
        <v>199.50838875199321</v>
      </c>
      <c r="AE76">
        <v>199.50838875199321</v>
      </c>
      <c r="AF76">
        <v>199.50838875199321</v>
      </c>
      <c r="AG76">
        <v>128.67935488568463</v>
      </c>
      <c r="AH76">
        <v>128.67935488568463</v>
      </c>
      <c r="AI76">
        <v>128.67935488568463</v>
      </c>
      <c r="AJ76">
        <v>1812.6021007340216</v>
      </c>
      <c r="AK76">
        <v>1812.6021007340216</v>
      </c>
      <c r="AL76">
        <v>1812.6021007340216</v>
      </c>
      <c r="AP76">
        <v>44.787271126306123</v>
      </c>
      <c r="AQ76">
        <v>44.787271126306123</v>
      </c>
      <c r="AR76">
        <v>44.787271126306123</v>
      </c>
      <c r="AS76">
        <v>3.2589761043348459E-2</v>
      </c>
      <c r="AT76">
        <v>3.2589761043348459E-2</v>
      </c>
      <c r="AU76">
        <v>3.2589761043348459E-2</v>
      </c>
      <c r="BC76" t="s">
        <v>15</v>
      </c>
    </row>
    <row r="77" spans="1:55" x14ac:dyDescent="0.45">
      <c r="A77" t="s">
        <v>87</v>
      </c>
      <c r="B77" t="s">
        <v>336</v>
      </c>
      <c r="C77" t="s">
        <v>365</v>
      </c>
      <c r="D77" t="s">
        <v>10</v>
      </c>
      <c r="E77" t="s">
        <v>89</v>
      </c>
      <c r="F77" t="s">
        <v>294</v>
      </c>
      <c r="G77" t="s">
        <v>294</v>
      </c>
      <c r="H77" t="s">
        <v>225</v>
      </c>
      <c r="I77">
        <v>36</v>
      </c>
      <c r="J77">
        <v>36</v>
      </c>
      <c r="K77">
        <v>36</v>
      </c>
      <c r="L77">
        <v>0.92</v>
      </c>
      <c r="N77">
        <v>0.03</v>
      </c>
      <c r="O77">
        <v>0.03</v>
      </c>
      <c r="P77">
        <v>0.03</v>
      </c>
      <c r="Q77">
        <v>27.5</v>
      </c>
      <c r="R77">
        <v>27.5</v>
      </c>
      <c r="S77">
        <v>27.5</v>
      </c>
      <c r="T77" t="s">
        <v>226</v>
      </c>
      <c r="U77" t="s">
        <v>450</v>
      </c>
      <c r="V77" t="s">
        <v>365</v>
      </c>
      <c r="W77" t="s">
        <v>423</v>
      </c>
      <c r="X77" t="s">
        <v>365</v>
      </c>
      <c r="Y77">
        <v>0.03</v>
      </c>
      <c r="Z77">
        <v>1200</v>
      </c>
      <c r="AA77">
        <v>73.905120285434094</v>
      </c>
      <c r="AB77">
        <v>73.905120285434094</v>
      </c>
      <c r="AC77">
        <v>73.905120285434094</v>
      </c>
      <c r="AD77">
        <v>86.222295975239973</v>
      </c>
      <c r="AE77">
        <v>86.222295975239973</v>
      </c>
      <c r="AF77">
        <v>86.222295975239973</v>
      </c>
      <c r="AG77">
        <v>49.151309772451924</v>
      </c>
      <c r="AH77">
        <v>49.151309772451924</v>
      </c>
      <c r="AI77">
        <v>49.151309772451924</v>
      </c>
      <c r="AJ77">
        <v>708.74113592098593</v>
      </c>
      <c r="AK77">
        <v>708.74113592098593</v>
      </c>
      <c r="AL77">
        <v>708.74113592098593</v>
      </c>
      <c r="AP77">
        <v>15.955298256384834</v>
      </c>
      <c r="AQ77">
        <v>15.955298256384834</v>
      </c>
      <c r="AR77">
        <v>15.955298256384834</v>
      </c>
      <c r="AS77">
        <v>1.2963895241447703E-2</v>
      </c>
      <c r="AT77">
        <v>1.2963895241447703E-2</v>
      </c>
      <c r="AU77">
        <v>1.2963895241447703E-2</v>
      </c>
      <c r="BC77" t="s">
        <v>15</v>
      </c>
    </row>
    <row r="78" spans="1:55" x14ac:dyDescent="0.45">
      <c r="A78" t="s">
        <v>110</v>
      </c>
      <c r="B78" t="s">
        <v>318</v>
      </c>
      <c r="C78" t="s">
        <v>397</v>
      </c>
      <c r="D78" t="s">
        <v>312</v>
      </c>
      <c r="E78" t="s">
        <v>116</v>
      </c>
      <c r="F78" t="s">
        <v>243</v>
      </c>
      <c r="G78" t="s">
        <v>243</v>
      </c>
      <c r="H78" t="s">
        <v>225</v>
      </c>
      <c r="I78">
        <v>240</v>
      </c>
      <c r="J78">
        <v>240</v>
      </c>
      <c r="K78">
        <v>240</v>
      </c>
      <c r="L78">
        <v>0.4</v>
      </c>
      <c r="N78">
        <v>0.1</v>
      </c>
      <c r="O78">
        <v>0.1</v>
      </c>
      <c r="P78">
        <v>0.1</v>
      </c>
      <c r="Q78">
        <v>47.32</v>
      </c>
      <c r="R78">
        <v>47.32</v>
      </c>
      <c r="S78">
        <v>47.32</v>
      </c>
      <c r="T78" t="s">
        <v>451</v>
      </c>
      <c r="U78" t="s">
        <v>443</v>
      </c>
      <c r="V78" t="s">
        <v>444</v>
      </c>
      <c r="W78" t="s">
        <v>365</v>
      </c>
      <c r="X78" t="s">
        <v>365</v>
      </c>
      <c r="Y78">
        <v>0.1</v>
      </c>
      <c r="Z78">
        <v>2400</v>
      </c>
      <c r="AA78">
        <v>95.691388953193027</v>
      </c>
      <c r="AB78">
        <v>95.691388953193027</v>
      </c>
      <c r="AC78">
        <v>95.691388953193027</v>
      </c>
      <c r="AD78">
        <v>110.77298355748439</v>
      </c>
      <c r="AE78">
        <v>110.77298355748439</v>
      </c>
      <c r="AF78">
        <v>110.77298355748439</v>
      </c>
      <c r="AG78">
        <v>9.9640688345138742</v>
      </c>
      <c r="AH78">
        <v>9.9640688345138742</v>
      </c>
      <c r="AI78">
        <v>9.9640688345138742</v>
      </c>
      <c r="AJ78">
        <v>180.42477865064654</v>
      </c>
      <c r="AK78">
        <v>180.42477865064654</v>
      </c>
      <c r="AL78">
        <v>180.42477865064654</v>
      </c>
      <c r="AP78">
        <v>4.0192086721652354</v>
      </c>
      <c r="AQ78">
        <v>4.0192086721652354</v>
      </c>
      <c r="AR78">
        <v>4.0192086721652354</v>
      </c>
      <c r="AS78">
        <v>5.1710170534109067E-3</v>
      </c>
      <c r="AT78">
        <v>5.1710170534109067E-3</v>
      </c>
      <c r="AU78">
        <v>5.1710170534109067E-3</v>
      </c>
      <c r="BC78" t="s">
        <v>15</v>
      </c>
    </row>
    <row r="79" spans="1:55" x14ac:dyDescent="0.45">
      <c r="A79" t="s">
        <v>110</v>
      </c>
      <c r="B79" t="s">
        <v>326</v>
      </c>
      <c r="C79" t="s">
        <v>362</v>
      </c>
      <c r="D79" t="s">
        <v>303</v>
      </c>
      <c r="E79" t="s">
        <v>115</v>
      </c>
      <c r="F79" t="s">
        <v>335</v>
      </c>
      <c r="G79" t="s">
        <v>290</v>
      </c>
      <c r="H79" t="s">
        <v>225</v>
      </c>
      <c r="I79">
        <v>160</v>
      </c>
      <c r="J79">
        <v>160</v>
      </c>
      <c r="K79">
        <v>160</v>
      </c>
      <c r="L79">
        <v>0.2</v>
      </c>
      <c r="M79">
        <v>0.2</v>
      </c>
      <c r="N79">
        <v>0.03</v>
      </c>
      <c r="O79">
        <v>0.03</v>
      </c>
      <c r="P79">
        <v>0.03</v>
      </c>
      <c r="Q79">
        <v>6.08</v>
      </c>
      <c r="R79">
        <v>6.08</v>
      </c>
      <c r="S79">
        <v>6.08</v>
      </c>
      <c r="T79" t="s">
        <v>226</v>
      </c>
      <c r="U79" t="s">
        <v>452</v>
      </c>
      <c r="V79" t="s">
        <v>437</v>
      </c>
      <c r="W79" t="s">
        <v>365</v>
      </c>
      <c r="X79" t="s">
        <v>453</v>
      </c>
      <c r="Y79">
        <v>50</v>
      </c>
      <c r="Z79">
        <v>3.2</v>
      </c>
      <c r="AA79">
        <v>36.119347387548679</v>
      </c>
      <c r="AB79">
        <v>36.119347387548679</v>
      </c>
      <c r="AC79">
        <v>36.119347387548679</v>
      </c>
      <c r="AD79">
        <v>56.376505694449037</v>
      </c>
      <c r="AE79">
        <v>56.376505694449037</v>
      </c>
      <c r="AF79">
        <v>56.376505694449037</v>
      </c>
      <c r="AG79">
        <v>13.238896995263897</v>
      </c>
      <c r="AH79">
        <v>13.238896995263897</v>
      </c>
      <c r="AI79">
        <v>13.238896995263897</v>
      </c>
      <c r="AJ79">
        <v>192.68175266975854</v>
      </c>
      <c r="AK79">
        <v>192.68175266975854</v>
      </c>
      <c r="AL79">
        <v>192.68175266975854</v>
      </c>
      <c r="AP79">
        <v>6.6459238526822819</v>
      </c>
      <c r="AQ79">
        <v>6.6459238526822819</v>
      </c>
      <c r="AR79">
        <v>6.6459238526822819</v>
      </c>
      <c r="AS79">
        <v>4.1565579708814143E-3</v>
      </c>
      <c r="AT79">
        <v>4.1565579708814143E-3</v>
      </c>
      <c r="AU79">
        <v>4.1565579708814143E-3</v>
      </c>
      <c r="BC79" t="s">
        <v>15</v>
      </c>
    </row>
    <row r="80" spans="1:55" x14ac:dyDescent="0.45">
      <c r="A80" t="s">
        <v>110</v>
      </c>
      <c r="B80" t="s">
        <v>326</v>
      </c>
      <c r="C80" t="s">
        <v>362</v>
      </c>
      <c r="D80" t="s">
        <v>303</v>
      </c>
      <c r="E80" t="s">
        <v>115</v>
      </c>
      <c r="F80" t="s">
        <v>335</v>
      </c>
      <c r="G80" t="s">
        <v>290</v>
      </c>
      <c r="H80" t="s">
        <v>225</v>
      </c>
      <c r="I80">
        <v>80</v>
      </c>
      <c r="J80">
        <v>80</v>
      </c>
      <c r="K80">
        <v>80</v>
      </c>
      <c r="L80">
        <v>0.2</v>
      </c>
      <c r="M80">
        <v>0.2</v>
      </c>
      <c r="N80">
        <v>0.02</v>
      </c>
      <c r="O80">
        <v>0.02</v>
      </c>
      <c r="P80">
        <v>0.02</v>
      </c>
      <c r="Q80">
        <v>3</v>
      </c>
      <c r="R80">
        <v>3</v>
      </c>
      <c r="S80">
        <v>3</v>
      </c>
      <c r="T80" t="s">
        <v>454</v>
      </c>
      <c r="U80" t="s">
        <v>452</v>
      </c>
      <c r="V80" t="s">
        <v>437</v>
      </c>
      <c r="W80" t="s">
        <v>365</v>
      </c>
      <c r="X80" t="s">
        <v>455</v>
      </c>
      <c r="Y80">
        <v>50</v>
      </c>
      <c r="Z80">
        <v>1.6</v>
      </c>
      <c r="AA80">
        <v>17.822046408329939</v>
      </c>
      <c r="AB80">
        <v>17.822046408329939</v>
      </c>
      <c r="AC80">
        <v>17.822046408329939</v>
      </c>
      <c r="AD80">
        <v>27.817354783445246</v>
      </c>
      <c r="AE80">
        <v>27.817354783445246</v>
      </c>
      <c r="AF80">
        <v>27.817354783445246</v>
      </c>
      <c r="AG80">
        <v>6.5323504910841592</v>
      </c>
      <c r="AH80">
        <v>6.5323504910841592</v>
      </c>
      <c r="AI80">
        <v>6.5323504910841592</v>
      </c>
      <c r="AJ80">
        <v>95.073233225209805</v>
      </c>
      <c r="AK80">
        <v>95.073233225209805</v>
      </c>
      <c r="AL80">
        <v>95.073233225209805</v>
      </c>
      <c r="AP80">
        <v>3.2792387430998104</v>
      </c>
      <c r="AQ80">
        <v>3.2792387430998104</v>
      </c>
      <c r="AR80">
        <v>3.2792387430998104</v>
      </c>
      <c r="AS80">
        <v>2.0509332093164873E-3</v>
      </c>
      <c r="AT80">
        <v>2.0509332093164873E-3</v>
      </c>
      <c r="AU80">
        <v>2.0509332093164873E-3</v>
      </c>
      <c r="BC80" t="s">
        <v>15</v>
      </c>
    </row>
    <row r="81" spans="1:55" x14ac:dyDescent="0.45">
      <c r="A81" t="s">
        <v>110</v>
      </c>
      <c r="B81" t="s">
        <v>339</v>
      </c>
      <c r="C81" t="s">
        <v>377</v>
      </c>
      <c r="D81" t="s">
        <v>309</v>
      </c>
      <c r="E81" t="s">
        <v>114</v>
      </c>
      <c r="F81" t="s">
        <v>258</v>
      </c>
      <c r="G81" t="s">
        <v>258</v>
      </c>
      <c r="H81" t="s">
        <v>225</v>
      </c>
      <c r="I81">
        <v>200</v>
      </c>
      <c r="J81">
        <v>200</v>
      </c>
      <c r="K81">
        <v>200</v>
      </c>
      <c r="L81">
        <v>0.99</v>
      </c>
      <c r="N81">
        <v>0.2</v>
      </c>
      <c r="O81">
        <v>0.2</v>
      </c>
      <c r="P81">
        <v>0.2</v>
      </c>
      <c r="Q81">
        <v>467.46</v>
      </c>
      <c r="R81">
        <v>467.46</v>
      </c>
      <c r="S81">
        <v>467.46</v>
      </c>
      <c r="T81" t="s">
        <v>378</v>
      </c>
      <c r="U81" t="s">
        <v>456</v>
      </c>
      <c r="V81" t="s">
        <v>364</v>
      </c>
      <c r="W81" t="s">
        <v>365</v>
      </c>
      <c r="X81" t="s">
        <v>365</v>
      </c>
      <c r="Y81">
        <v>1.4</v>
      </c>
      <c r="Z81">
        <v>142.85714285714286</v>
      </c>
      <c r="AA81">
        <v>485.91717513003096</v>
      </c>
      <c r="AB81">
        <v>485.91717513003096</v>
      </c>
      <c r="AC81">
        <v>485.91717513003096</v>
      </c>
      <c r="AD81">
        <v>508.29023081064747</v>
      </c>
      <c r="AE81">
        <v>508.29023081064747</v>
      </c>
      <c r="AF81">
        <v>508.29023081064747</v>
      </c>
      <c r="AG81">
        <v>53.874509641676447</v>
      </c>
      <c r="AH81">
        <v>53.874509641676447</v>
      </c>
      <c r="AI81">
        <v>53.874509641676447</v>
      </c>
      <c r="AJ81">
        <v>403.18256523836709</v>
      </c>
      <c r="AK81">
        <v>403.18256523836709</v>
      </c>
      <c r="AL81">
        <v>403.18256523836709</v>
      </c>
      <c r="AP81">
        <v>18.878309340484076</v>
      </c>
      <c r="AQ81">
        <v>18.878309340484076</v>
      </c>
      <c r="AR81">
        <v>18.878309340484076</v>
      </c>
      <c r="AS81">
        <v>2.2758948737978974E-2</v>
      </c>
      <c r="AT81">
        <v>2.2758948737978974E-2</v>
      </c>
      <c r="AU81">
        <v>2.2758948737978974E-2</v>
      </c>
      <c r="BC81" t="s">
        <v>15</v>
      </c>
    </row>
    <row r="82" spans="1:55" x14ac:dyDescent="0.45">
      <c r="A82" t="s">
        <v>110</v>
      </c>
      <c r="B82" t="s">
        <v>339</v>
      </c>
      <c r="C82" t="s">
        <v>377</v>
      </c>
      <c r="D82" t="s">
        <v>309</v>
      </c>
      <c r="E82" t="s">
        <v>114</v>
      </c>
      <c r="F82" t="s">
        <v>322</v>
      </c>
      <c r="G82" t="s">
        <v>229</v>
      </c>
      <c r="H82" t="s">
        <v>225</v>
      </c>
      <c r="I82">
        <v>200</v>
      </c>
      <c r="J82">
        <v>200</v>
      </c>
      <c r="K82">
        <v>200</v>
      </c>
      <c r="L82">
        <v>0.01</v>
      </c>
      <c r="N82">
        <v>0</v>
      </c>
      <c r="O82">
        <v>0</v>
      </c>
      <c r="P82">
        <v>0</v>
      </c>
      <c r="Q82">
        <v>15.1</v>
      </c>
      <c r="R82">
        <v>15.1</v>
      </c>
      <c r="S82">
        <v>15.1</v>
      </c>
      <c r="T82" t="s">
        <v>457</v>
      </c>
      <c r="U82" t="s">
        <v>436</v>
      </c>
      <c r="V82" t="s">
        <v>437</v>
      </c>
      <c r="W82" t="s">
        <v>365</v>
      </c>
      <c r="X82" t="s">
        <v>365</v>
      </c>
      <c r="Y82">
        <v>50</v>
      </c>
      <c r="Z82">
        <v>4</v>
      </c>
      <c r="AA82">
        <v>78.961565266522499</v>
      </c>
      <c r="AB82">
        <v>78.961565266522499</v>
      </c>
      <c r="AC82">
        <v>78.961565266522499</v>
      </c>
      <c r="AD82">
        <v>124.62105647031575</v>
      </c>
      <c r="AE82">
        <v>124.62105647031575</v>
      </c>
      <c r="AF82">
        <v>124.62105647031575</v>
      </c>
      <c r="AG82">
        <v>32.713871393735005</v>
      </c>
      <c r="AH82">
        <v>32.713871393735005</v>
      </c>
      <c r="AI82">
        <v>32.713871393735005</v>
      </c>
      <c r="AJ82">
        <v>461.33060721498344</v>
      </c>
      <c r="AK82">
        <v>461.33060721498344</v>
      </c>
      <c r="AL82">
        <v>461.33060721498344</v>
      </c>
      <c r="AP82">
        <v>13.798007463719571</v>
      </c>
      <c r="AQ82">
        <v>13.798007463719571</v>
      </c>
      <c r="AR82">
        <v>13.798007463719571</v>
      </c>
      <c r="AS82">
        <v>9.6512480465876706E-3</v>
      </c>
      <c r="AT82">
        <v>9.6512480465876706E-3</v>
      </c>
      <c r="AU82">
        <v>9.6512480465876706E-3</v>
      </c>
      <c r="BC82" t="s">
        <v>15</v>
      </c>
    </row>
    <row r="83" spans="1:55" x14ac:dyDescent="0.45">
      <c r="A83" t="s">
        <v>117</v>
      </c>
      <c r="B83" t="s">
        <v>342</v>
      </c>
      <c r="C83" t="s">
        <v>362</v>
      </c>
      <c r="D83" t="s">
        <v>343</v>
      </c>
      <c r="E83" t="s">
        <v>119</v>
      </c>
      <c r="F83" t="s">
        <v>322</v>
      </c>
      <c r="G83" t="s">
        <v>229</v>
      </c>
      <c r="H83" t="s">
        <v>225</v>
      </c>
      <c r="I83">
        <v>200</v>
      </c>
      <c r="J83">
        <v>200</v>
      </c>
      <c r="K83">
        <v>200</v>
      </c>
      <c r="L83">
        <v>0.01</v>
      </c>
      <c r="N83">
        <v>0</v>
      </c>
      <c r="O83">
        <v>0</v>
      </c>
      <c r="P83">
        <v>0</v>
      </c>
      <c r="Q83">
        <v>15.1</v>
      </c>
      <c r="R83">
        <v>15.1</v>
      </c>
      <c r="S83">
        <v>15.1</v>
      </c>
      <c r="T83" t="s">
        <v>457</v>
      </c>
      <c r="U83" t="s">
        <v>436</v>
      </c>
      <c r="V83" t="s">
        <v>437</v>
      </c>
      <c r="W83" t="s">
        <v>365</v>
      </c>
      <c r="X83" t="s">
        <v>365</v>
      </c>
      <c r="Y83">
        <v>50</v>
      </c>
      <c r="Z83">
        <v>4</v>
      </c>
      <c r="AA83">
        <v>78.961565266522499</v>
      </c>
      <c r="AB83">
        <v>78.961565266522499</v>
      </c>
      <c r="AC83">
        <v>78.961565266522499</v>
      </c>
      <c r="AD83">
        <v>124.62105647031575</v>
      </c>
      <c r="AE83">
        <v>124.62105647031575</v>
      </c>
      <c r="AF83">
        <v>124.62105647031575</v>
      </c>
      <c r="AG83">
        <v>32.713871393735005</v>
      </c>
      <c r="AH83">
        <v>32.713871393735005</v>
      </c>
      <c r="AI83">
        <v>32.713871393735005</v>
      </c>
      <c r="AJ83">
        <v>461.33060721498344</v>
      </c>
      <c r="AK83">
        <v>461.33060721498344</v>
      </c>
      <c r="AL83">
        <v>461.33060721498344</v>
      </c>
      <c r="AP83">
        <v>13.798007463719571</v>
      </c>
      <c r="AQ83">
        <v>13.798007463719571</v>
      </c>
      <c r="AR83">
        <v>13.798007463719571</v>
      </c>
      <c r="AS83">
        <v>9.6512480465876706E-3</v>
      </c>
      <c r="AT83">
        <v>9.6512480465876706E-3</v>
      </c>
      <c r="AU83">
        <v>9.6512480465876706E-3</v>
      </c>
      <c r="BC83" t="s">
        <v>15</v>
      </c>
    </row>
    <row r="84" spans="1:55" x14ac:dyDescent="0.45">
      <c r="A84" t="s">
        <v>117</v>
      </c>
      <c r="B84" t="s">
        <v>342</v>
      </c>
      <c r="C84" t="s">
        <v>362</v>
      </c>
      <c r="D84" t="s">
        <v>343</v>
      </c>
      <c r="E84" t="s">
        <v>119</v>
      </c>
      <c r="F84" t="s">
        <v>307</v>
      </c>
      <c r="G84" t="s">
        <v>224</v>
      </c>
      <c r="H84" t="s">
        <v>225</v>
      </c>
      <c r="I84">
        <v>200</v>
      </c>
      <c r="J84">
        <v>200</v>
      </c>
      <c r="K84">
        <v>200</v>
      </c>
      <c r="L84">
        <v>0.99</v>
      </c>
      <c r="N84">
        <v>0.2</v>
      </c>
      <c r="O84">
        <v>0.2</v>
      </c>
      <c r="P84">
        <v>0.2</v>
      </c>
      <c r="Q84">
        <v>467.46</v>
      </c>
      <c r="R84">
        <v>467.46</v>
      </c>
      <c r="S84">
        <v>467.46</v>
      </c>
      <c r="U84" t="s">
        <v>363</v>
      </c>
      <c r="V84" t="s">
        <v>364</v>
      </c>
      <c r="W84" t="s">
        <v>365</v>
      </c>
      <c r="X84" t="s">
        <v>365</v>
      </c>
      <c r="Y84">
        <v>1.4</v>
      </c>
      <c r="Z84">
        <v>142.85714285714286</v>
      </c>
      <c r="AA84">
        <v>466.56903407462204</v>
      </c>
      <c r="AB84">
        <v>466.56903407462204</v>
      </c>
      <c r="AC84">
        <v>466.56903407462204</v>
      </c>
      <c r="AD84">
        <v>483.77214609327149</v>
      </c>
      <c r="AE84">
        <v>483.77214609327149</v>
      </c>
      <c r="AF84">
        <v>483.77214609327149</v>
      </c>
      <c r="AG84">
        <v>39.493529271958522</v>
      </c>
      <c r="AH84">
        <v>39.493529271958522</v>
      </c>
      <c r="AI84">
        <v>39.493529271958522</v>
      </c>
      <c r="AJ84">
        <v>309.39589658756137</v>
      </c>
      <c r="AK84">
        <v>309.39589658756137</v>
      </c>
      <c r="AL84">
        <v>309.39589658756137</v>
      </c>
      <c r="AP84">
        <v>19.573895142447551</v>
      </c>
      <c r="AQ84">
        <v>19.573895142447551</v>
      </c>
      <c r="AR84">
        <v>19.573895142447551</v>
      </c>
      <c r="AS84">
        <v>2.0313630481324459E-2</v>
      </c>
      <c r="AT84">
        <v>2.0313630481324459E-2</v>
      </c>
      <c r="AU84">
        <v>2.0313630481324459E-2</v>
      </c>
      <c r="BC84" t="s">
        <v>15</v>
      </c>
    </row>
    <row r="85" spans="1:55" x14ac:dyDescent="0.45">
      <c r="A85" t="s">
        <v>117</v>
      </c>
      <c r="B85" t="s">
        <v>347</v>
      </c>
      <c r="C85" t="s">
        <v>377</v>
      </c>
      <c r="D85" t="s">
        <v>312</v>
      </c>
      <c r="E85" t="s">
        <v>118</v>
      </c>
      <c r="F85" t="s">
        <v>243</v>
      </c>
      <c r="G85" t="s">
        <v>243</v>
      </c>
      <c r="H85" t="s">
        <v>225</v>
      </c>
      <c r="I85">
        <v>120</v>
      </c>
      <c r="J85">
        <v>120</v>
      </c>
      <c r="K85">
        <v>120</v>
      </c>
      <c r="L85">
        <v>0.03</v>
      </c>
      <c r="N85">
        <v>0</v>
      </c>
      <c r="O85">
        <v>0</v>
      </c>
      <c r="P85">
        <v>0</v>
      </c>
      <c r="Q85">
        <v>1.97</v>
      </c>
      <c r="R85">
        <v>1.97</v>
      </c>
      <c r="S85">
        <v>1.97</v>
      </c>
      <c r="T85" t="s">
        <v>458</v>
      </c>
      <c r="U85" t="s">
        <v>443</v>
      </c>
      <c r="V85" t="s">
        <v>444</v>
      </c>
      <c r="W85" t="s">
        <v>365</v>
      </c>
      <c r="X85" t="s">
        <v>365</v>
      </c>
      <c r="Y85">
        <v>0.1</v>
      </c>
      <c r="Z85">
        <v>1200</v>
      </c>
      <c r="AA85">
        <v>3.9871412063830429</v>
      </c>
      <c r="AB85">
        <v>3.9871412063830429</v>
      </c>
      <c r="AC85">
        <v>3.9871412063830429</v>
      </c>
      <c r="AD85">
        <v>4.6155409815618498</v>
      </c>
      <c r="AE85">
        <v>4.6155409815618498</v>
      </c>
      <c r="AF85">
        <v>4.6155409815618498</v>
      </c>
      <c r="AG85">
        <v>0.41516953477141139</v>
      </c>
      <c r="AH85">
        <v>0.41516953477141139</v>
      </c>
      <c r="AI85">
        <v>0.41516953477141139</v>
      </c>
      <c r="AJ85">
        <v>7.5176991104436057</v>
      </c>
      <c r="AK85">
        <v>7.5176991104436057</v>
      </c>
      <c r="AL85">
        <v>7.5176991104436057</v>
      </c>
      <c r="AP85">
        <v>0.16746702800688482</v>
      </c>
      <c r="AQ85">
        <v>0.16746702800688482</v>
      </c>
      <c r="AR85">
        <v>0.16746702800688482</v>
      </c>
      <c r="AS85">
        <v>2.1545904389212115E-4</v>
      </c>
      <c r="AT85">
        <v>2.1545904389212115E-4</v>
      </c>
      <c r="AU85">
        <v>2.1545904389212115E-4</v>
      </c>
      <c r="BC85" t="s">
        <v>15</v>
      </c>
    </row>
    <row r="86" spans="1:55" x14ac:dyDescent="0.45">
      <c r="A86" t="s">
        <v>117</v>
      </c>
      <c r="B86" t="s">
        <v>347</v>
      </c>
      <c r="C86" t="s">
        <v>377</v>
      </c>
      <c r="D86" t="s">
        <v>312</v>
      </c>
      <c r="E86" t="s">
        <v>118</v>
      </c>
      <c r="F86" t="s">
        <v>348</v>
      </c>
      <c r="G86" t="s">
        <v>227</v>
      </c>
      <c r="H86" t="s">
        <v>228</v>
      </c>
      <c r="I86">
        <v>120</v>
      </c>
      <c r="J86">
        <v>80</v>
      </c>
      <c r="K86">
        <v>200</v>
      </c>
      <c r="L86">
        <v>0.97</v>
      </c>
      <c r="N86">
        <v>0.12</v>
      </c>
      <c r="O86">
        <v>0.08</v>
      </c>
      <c r="P86">
        <v>0.19</v>
      </c>
      <c r="Q86">
        <v>5.36</v>
      </c>
      <c r="R86">
        <v>3.58</v>
      </c>
      <c r="S86">
        <v>8.94</v>
      </c>
      <c r="T86" t="s">
        <v>226</v>
      </c>
      <c r="U86" t="s">
        <v>387</v>
      </c>
      <c r="V86" t="s">
        <v>388</v>
      </c>
      <c r="W86" t="s">
        <v>365</v>
      </c>
      <c r="X86" t="s">
        <v>365</v>
      </c>
      <c r="Y86">
        <v>4.2000000000000003E-2</v>
      </c>
      <c r="Z86">
        <v>2857.1428571428569</v>
      </c>
      <c r="AA86">
        <v>10.33867785285533</v>
      </c>
      <c r="AB86">
        <v>6.8924519019035548</v>
      </c>
      <c r="AC86">
        <v>17.231129754758889</v>
      </c>
      <c r="AD86">
        <v>12.546581566542704</v>
      </c>
      <c r="AE86">
        <v>8.3643877110284706</v>
      </c>
      <c r="AF86">
        <v>20.91096927757118</v>
      </c>
      <c r="AG86">
        <v>5.310442408837309</v>
      </c>
      <c r="AH86">
        <v>3.5402949392248733</v>
      </c>
      <c r="AI86">
        <v>8.850737348062184</v>
      </c>
      <c r="AJ86">
        <v>114.13758246377702</v>
      </c>
      <c r="AK86">
        <v>76.091721642518024</v>
      </c>
      <c r="AL86">
        <v>190.2293041062951</v>
      </c>
      <c r="AP86">
        <v>5.8140151269231266</v>
      </c>
      <c r="AQ86">
        <v>3.8760100846154182</v>
      </c>
      <c r="AR86">
        <v>9.690025211538547</v>
      </c>
      <c r="AS86">
        <v>2.0952200799597832E-3</v>
      </c>
      <c r="AT86">
        <v>1.3968133866398556E-3</v>
      </c>
      <c r="AU86">
        <v>3.4920334665996399E-3</v>
      </c>
      <c r="BC86" t="s">
        <v>15</v>
      </c>
    </row>
    <row r="87" spans="1:55" x14ac:dyDescent="0.45">
      <c r="A87" t="s">
        <v>123</v>
      </c>
      <c r="B87" t="s">
        <v>237</v>
      </c>
      <c r="C87" t="s">
        <v>377</v>
      </c>
      <c r="D87" t="s">
        <v>238</v>
      </c>
      <c r="E87" t="s">
        <v>124</v>
      </c>
      <c r="F87" t="s">
        <v>242</v>
      </c>
      <c r="G87" t="s">
        <v>243</v>
      </c>
      <c r="I87">
        <v>75</v>
      </c>
      <c r="J87">
        <v>75</v>
      </c>
      <c r="K87">
        <v>75</v>
      </c>
      <c r="L87">
        <v>0.1</v>
      </c>
      <c r="N87">
        <v>0.01</v>
      </c>
      <c r="O87">
        <v>0.01</v>
      </c>
      <c r="P87">
        <v>0.01</v>
      </c>
      <c r="Q87">
        <v>3.7</v>
      </c>
      <c r="R87">
        <v>3.7</v>
      </c>
      <c r="S87">
        <v>3.7</v>
      </c>
      <c r="T87" t="s">
        <v>226</v>
      </c>
      <c r="U87" t="s">
        <v>443</v>
      </c>
      <c r="V87" t="s">
        <v>444</v>
      </c>
      <c r="W87" t="s">
        <v>365</v>
      </c>
      <c r="X87" t="s">
        <v>365</v>
      </c>
      <c r="Y87">
        <v>0.1</v>
      </c>
      <c r="Z87">
        <v>750</v>
      </c>
      <c r="AA87">
        <v>7.4758897619682054</v>
      </c>
      <c r="AB87">
        <v>7.4758897619682054</v>
      </c>
      <c r="AC87">
        <v>7.4758897619682054</v>
      </c>
      <c r="AD87">
        <v>8.6541393404284683</v>
      </c>
      <c r="AE87">
        <v>8.6541393404284683</v>
      </c>
      <c r="AF87">
        <v>8.6541393404284683</v>
      </c>
      <c r="AG87">
        <v>0.77844287769639631</v>
      </c>
      <c r="AH87">
        <v>0.77844287769639631</v>
      </c>
      <c r="AI87">
        <v>0.77844287769639631</v>
      </c>
      <c r="AJ87">
        <v>14.09568583208176</v>
      </c>
      <c r="AK87">
        <v>14.09568583208176</v>
      </c>
      <c r="AL87">
        <v>14.09568583208176</v>
      </c>
      <c r="AP87">
        <v>0.314000677512909</v>
      </c>
      <c r="AQ87">
        <v>0.314000677512909</v>
      </c>
      <c r="AR87">
        <v>0.314000677512909</v>
      </c>
      <c r="AS87">
        <v>4.039857072977271E-4</v>
      </c>
      <c r="AT87">
        <v>4.039857072977271E-4</v>
      </c>
      <c r="AU87">
        <v>4.039857072977271E-4</v>
      </c>
      <c r="AV87" t="s">
        <v>435</v>
      </c>
      <c r="AW87" t="s">
        <v>225</v>
      </c>
      <c r="BC87" t="s">
        <v>15</v>
      </c>
    </row>
  </sheetData>
  <phoneticPr fontId="9" type="noConversion"/>
  <pageMargins left="0.7" right="0.7" top="0.78740157499999996" bottom="0.78740157499999996" header="0.3" footer="0.3"/>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835CFB-99ED-4C75-B54C-C7707EF4BBC1}">
  <sheetPr codeName="Tabelle8">
    <tabColor theme="0" tint="-0.249977111117893"/>
  </sheetPr>
  <dimension ref="A1:Y72"/>
  <sheetViews>
    <sheetView view="pageLayout" topLeftCell="C17" zoomScale="70" zoomScaleNormal="40" zoomScaleSheetLayoutView="55" zoomScalePageLayoutView="70" workbookViewId="0">
      <selection activeCell="M22" sqref="M22"/>
    </sheetView>
  </sheetViews>
  <sheetFormatPr baseColWidth="10" defaultColWidth="11.46484375" defaultRowHeight="14.25" outlineLevelRow="1" outlineLevelCol="1" x14ac:dyDescent="0.45"/>
  <cols>
    <col min="1" max="1" width="21.46484375" bestFit="1" customWidth="1"/>
    <col min="2" max="2" width="62.1328125" customWidth="1"/>
    <col min="3" max="3" width="54" customWidth="1"/>
    <col min="4" max="4" width="27.1328125" customWidth="1"/>
    <col min="5" max="5" width="29.86328125" hidden="1" customWidth="1" outlineLevel="1"/>
    <col min="6" max="6" width="29.53125" customWidth="1" collapsed="1"/>
    <col min="7" max="7" width="27" customWidth="1"/>
    <col min="8" max="8" width="25.33203125" bestFit="1" customWidth="1"/>
    <col min="9" max="9" width="29.33203125" customWidth="1"/>
    <col min="10" max="10" width="33" customWidth="1"/>
    <col min="11" max="11" width="26.33203125" customWidth="1"/>
    <col min="12" max="13" width="20.53125" customWidth="1"/>
    <col min="14" max="14" width="30.86328125" customWidth="1"/>
    <col min="15" max="15" width="29.1328125" bestFit="1" customWidth="1"/>
    <col min="16" max="16" width="28.46484375" customWidth="1"/>
    <col min="17" max="17" width="26.1328125" customWidth="1"/>
    <col min="18" max="18" width="32.46484375" bestFit="1" customWidth="1"/>
    <col min="19" max="19" width="41.86328125" bestFit="1" customWidth="1"/>
    <col min="20" max="20" width="20.53125" bestFit="1" customWidth="1"/>
    <col min="21" max="21" width="27.1328125" bestFit="1" customWidth="1"/>
    <col min="22" max="22" width="55.53125" bestFit="1" customWidth="1"/>
    <col min="23" max="23" width="48.53125" bestFit="1" customWidth="1"/>
    <col min="24" max="24" width="31.53125" bestFit="1" customWidth="1"/>
    <col min="25" max="25" width="27.1328125" bestFit="1" customWidth="1"/>
    <col min="26" max="26" width="25.53125" bestFit="1" customWidth="1"/>
    <col min="27" max="27" width="26" customWidth="1"/>
    <col min="28" max="28" width="25.46484375" bestFit="1" customWidth="1"/>
    <col min="29" max="29" width="44.46484375" bestFit="1" customWidth="1"/>
    <col min="30" max="30" width="25.46484375" customWidth="1"/>
    <col min="31" max="31" width="31.53125" bestFit="1" customWidth="1"/>
    <col min="32" max="34" width="12.53125" bestFit="1" customWidth="1"/>
    <col min="35" max="35" width="80.86328125" bestFit="1" customWidth="1"/>
    <col min="36" max="36" width="32.53125" customWidth="1"/>
  </cols>
  <sheetData>
    <row r="1" spans="1:25" ht="15.75" x14ac:dyDescent="0.45">
      <c r="A1" s="1" t="s">
        <v>459</v>
      </c>
      <c r="B1" s="1"/>
      <c r="C1" s="2"/>
      <c r="D1" s="1"/>
      <c r="E1" s="1"/>
      <c r="F1" s="1"/>
      <c r="G1" s="1"/>
      <c r="H1" s="1"/>
      <c r="I1" s="1"/>
      <c r="J1" s="1"/>
      <c r="K1" s="1"/>
      <c r="L1" s="1"/>
      <c r="M1" s="1"/>
      <c r="N1" s="1"/>
      <c r="O1" s="3"/>
    </row>
    <row r="2" spans="1:25" x14ac:dyDescent="0.45">
      <c r="A2" s="5"/>
      <c r="C2" s="6"/>
    </row>
    <row r="3" spans="1:25" x14ac:dyDescent="0.45">
      <c r="A3" s="8" t="s">
        <v>20</v>
      </c>
      <c r="B3" s="8"/>
      <c r="C3" s="9"/>
      <c r="D3" s="8"/>
      <c r="E3" s="8"/>
      <c r="F3" s="8"/>
      <c r="G3" s="8"/>
      <c r="H3" s="8"/>
      <c r="I3" s="8"/>
      <c r="J3" s="8"/>
      <c r="K3" s="8"/>
      <c r="L3" s="8"/>
      <c r="M3" s="8"/>
      <c r="N3" s="8"/>
      <c r="O3" s="8"/>
      <c r="P3" s="8"/>
      <c r="Q3" s="8"/>
      <c r="R3" s="8"/>
      <c r="S3" s="8"/>
      <c r="T3" s="10"/>
      <c r="U3" s="10"/>
      <c r="V3" s="11"/>
    </row>
    <row r="4" spans="1:25" x14ac:dyDescent="0.45">
      <c r="A4" s="10" t="s">
        <v>21</v>
      </c>
      <c r="B4" s="10"/>
      <c r="C4" s="14"/>
      <c r="D4" s="15"/>
      <c r="E4" s="15"/>
      <c r="F4" s="15"/>
      <c r="G4" s="15"/>
      <c r="H4" s="15"/>
      <c r="I4" s="15"/>
      <c r="J4" s="15"/>
      <c r="K4" s="15"/>
      <c r="L4" s="15"/>
      <c r="M4" s="15"/>
      <c r="N4" s="15"/>
      <c r="O4" s="15"/>
      <c r="P4" s="15"/>
      <c r="Q4" s="15"/>
      <c r="R4" s="15"/>
      <c r="S4" s="15"/>
      <c r="T4" s="10"/>
      <c r="U4" s="10"/>
      <c r="V4" s="16"/>
      <c r="W4" s="10"/>
      <c r="X4" s="10"/>
      <c r="Y4" s="10"/>
    </row>
    <row r="6" spans="1:25" s="40" customFormat="1" ht="56.75" customHeight="1" x14ac:dyDescent="0.5">
      <c r="A6" s="21" t="s">
        <v>460</v>
      </c>
      <c r="B6" s="21" t="s">
        <v>29</v>
      </c>
      <c r="C6" s="21" t="s">
        <v>461</v>
      </c>
      <c r="D6" s="21" t="s">
        <v>462</v>
      </c>
      <c r="E6" s="21" t="s">
        <v>463</v>
      </c>
      <c r="F6" s="21" t="s">
        <v>464</v>
      </c>
      <c r="G6" s="21" t="s">
        <v>465</v>
      </c>
      <c r="H6" s="21" t="s">
        <v>466</v>
      </c>
      <c r="I6" s="21" t="s">
        <v>467</v>
      </c>
      <c r="J6" s="21" t="s">
        <v>468</v>
      </c>
      <c r="K6" s="21" t="s">
        <v>469</v>
      </c>
      <c r="L6" s="21" t="s">
        <v>192</v>
      </c>
      <c r="M6" s="21" t="s">
        <v>470</v>
      </c>
    </row>
    <row r="7" spans="1:25" ht="15.75" hidden="1" outlineLevel="1" x14ac:dyDescent="0.5">
      <c r="A7" s="4" t="s">
        <v>365</v>
      </c>
      <c r="B7" s="4"/>
      <c r="C7" s="4" t="s">
        <v>244</v>
      </c>
      <c r="D7" s="23"/>
      <c r="E7" s="23"/>
      <c r="F7" s="23"/>
      <c r="G7" s="23"/>
      <c r="H7" s="23"/>
      <c r="I7" s="23"/>
      <c r="J7" s="23"/>
      <c r="K7" s="4"/>
      <c r="L7" s="23"/>
      <c r="M7" s="23"/>
    </row>
    <row r="8" spans="1:25" ht="15.75" collapsed="1" x14ac:dyDescent="0.5">
      <c r="A8" s="4" t="s">
        <v>381</v>
      </c>
      <c r="B8" s="4" t="s">
        <v>251</v>
      </c>
      <c r="C8" s="4" t="s">
        <v>252</v>
      </c>
      <c r="D8" s="23">
        <v>1.2128661572039099</v>
      </c>
      <c r="E8" s="23">
        <v>1.26317157955002</v>
      </c>
      <c r="F8" s="23">
        <v>0.12435744089397199</v>
      </c>
      <c r="G8" s="23">
        <v>0.11807568611493</v>
      </c>
      <c r="H8" s="23">
        <v>1.7108223215183</v>
      </c>
      <c r="I8" s="23"/>
      <c r="J8" s="23"/>
      <c r="K8" s="23">
        <v>1050</v>
      </c>
      <c r="L8" s="4">
        <v>1</v>
      </c>
      <c r="M8" s="23" t="s">
        <v>471</v>
      </c>
    </row>
    <row r="9" spans="1:25" ht="15.75" x14ac:dyDescent="0.5">
      <c r="A9" s="4" t="s">
        <v>432</v>
      </c>
      <c r="B9" s="4" t="s">
        <v>251</v>
      </c>
      <c r="C9" s="4" t="s">
        <v>254</v>
      </c>
      <c r="D9" s="23">
        <v>0.83972007827680095</v>
      </c>
      <c r="E9" s="23">
        <v>1.17417820225753</v>
      </c>
      <c r="F9" s="23">
        <v>1.96938598062995E-2</v>
      </c>
      <c r="G9" s="23">
        <v>4.6227848605560902E-2</v>
      </c>
      <c r="H9" s="23">
        <v>0.68777843917285997</v>
      </c>
      <c r="I9" s="23"/>
      <c r="J9" s="23"/>
      <c r="K9" s="23">
        <v>900</v>
      </c>
      <c r="L9" s="4">
        <v>0.66</v>
      </c>
      <c r="M9" s="23" t="s">
        <v>471</v>
      </c>
    </row>
    <row r="10" spans="1:25" ht="15.75" x14ac:dyDescent="0.5">
      <c r="A10" s="4" t="s">
        <v>414</v>
      </c>
      <c r="B10" s="4" t="s">
        <v>251</v>
      </c>
      <c r="C10" s="4" t="s">
        <v>255</v>
      </c>
      <c r="D10" s="23">
        <v>51.152550878748798</v>
      </c>
      <c r="E10" s="23">
        <v>53.565837738232503</v>
      </c>
      <c r="F10" s="23">
        <v>4.3336531071934496</v>
      </c>
      <c r="G10" s="23">
        <v>4.1165765620211596</v>
      </c>
      <c r="H10" s="23">
        <v>73.577311545865996</v>
      </c>
      <c r="I10" s="23"/>
      <c r="J10" s="23"/>
      <c r="K10" s="23">
        <v>1200</v>
      </c>
      <c r="L10" s="4"/>
      <c r="M10" s="23" t="s">
        <v>471</v>
      </c>
    </row>
    <row r="11" spans="1:25" ht="15.75" x14ac:dyDescent="0.5">
      <c r="A11" s="4" t="s">
        <v>376</v>
      </c>
      <c r="B11" s="4" t="s">
        <v>251</v>
      </c>
      <c r="C11" s="4" t="s">
        <v>256</v>
      </c>
      <c r="D11" s="23">
        <v>1.2066357131990499</v>
      </c>
      <c r="E11" s="23">
        <v>1.2933215400096101</v>
      </c>
      <c r="F11" s="23">
        <v>3.3458077986218401E-2</v>
      </c>
      <c r="G11" s="23">
        <v>0.23252904929055301</v>
      </c>
      <c r="H11" s="23">
        <v>1.7962410619822999</v>
      </c>
      <c r="I11" s="23"/>
      <c r="J11" s="23"/>
      <c r="K11" s="23">
        <v>2400</v>
      </c>
      <c r="L11" s="4">
        <v>1.4</v>
      </c>
      <c r="M11" s="23" t="s">
        <v>471</v>
      </c>
    </row>
    <row r="12" spans="1:25" ht="15.75" x14ac:dyDescent="0.5">
      <c r="A12" s="4" t="s">
        <v>363</v>
      </c>
      <c r="B12" s="4" t="s">
        <v>257</v>
      </c>
      <c r="C12" s="4" t="s">
        <v>224</v>
      </c>
      <c r="D12" s="23">
        <v>0.99809074263124664</v>
      </c>
      <c r="E12" s="23">
        <v>1.0348918708593926</v>
      </c>
      <c r="F12" s="23">
        <v>4.1872739320687531E-2</v>
      </c>
      <c r="G12" s="23">
        <v>8.4485088124972976E-2</v>
      </c>
      <c r="H12" s="23">
        <v>0.66186385644862555</v>
      </c>
      <c r="I12" s="23"/>
      <c r="J12" s="23"/>
      <c r="K12" s="23">
        <v>2360</v>
      </c>
      <c r="L12" s="4">
        <v>1.4</v>
      </c>
      <c r="M12" s="23" t="s">
        <v>471</v>
      </c>
    </row>
    <row r="13" spans="1:25" ht="15.75" x14ac:dyDescent="0.5">
      <c r="A13" s="4" t="s">
        <v>456</v>
      </c>
      <c r="B13" s="4" t="s">
        <v>257</v>
      </c>
      <c r="C13" s="4" t="s">
        <v>258</v>
      </c>
      <c r="D13" s="23">
        <v>1.039480545777588</v>
      </c>
      <c r="E13" s="23">
        <v>1.0873412869077532</v>
      </c>
      <c r="F13" s="23">
        <v>4.038473283302501E-2</v>
      </c>
      <c r="G13" s="23">
        <v>0.11524907443504916</v>
      </c>
      <c r="H13" s="23">
        <v>0.86249355736362865</v>
      </c>
      <c r="I13" s="23"/>
      <c r="J13" s="23"/>
      <c r="K13" s="23">
        <v>2360</v>
      </c>
      <c r="L13" s="4">
        <v>1.4</v>
      </c>
      <c r="M13" s="23" t="s">
        <v>471</v>
      </c>
    </row>
    <row r="14" spans="1:25" ht="15.75" x14ac:dyDescent="0.5">
      <c r="A14" s="4" t="s">
        <v>371</v>
      </c>
      <c r="B14" s="4" t="s">
        <v>257</v>
      </c>
      <c r="C14" s="4" t="s">
        <v>231</v>
      </c>
      <c r="D14" s="23">
        <v>0.75715346093657565</v>
      </c>
      <c r="E14" s="23">
        <v>0.8214076355496257</v>
      </c>
      <c r="F14" s="23">
        <v>4.2952845615513373E-2</v>
      </c>
      <c r="G14" s="23">
        <v>8.4485088124972976E-2</v>
      </c>
      <c r="H14" s="23">
        <v>0.56222072457720051</v>
      </c>
      <c r="I14" s="23"/>
      <c r="J14" s="23"/>
      <c r="K14" s="23">
        <v>2400</v>
      </c>
      <c r="L14" s="4">
        <v>1.4</v>
      </c>
      <c r="M14" s="23" t="s">
        <v>471</v>
      </c>
    </row>
    <row r="15" spans="1:25" ht="15.75" x14ac:dyDescent="0.5">
      <c r="A15" s="4" t="s">
        <v>472</v>
      </c>
      <c r="B15" s="4" t="s">
        <v>257</v>
      </c>
      <c r="C15" s="4" t="s">
        <v>259</v>
      </c>
      <c r="D15" s="23">
        <v>0.71668916147097383</v>
      </c>
      <c r="E15" s="23">
        <v>0.78217585462475159</v>
      </c>
      <c r="F15" s="23">
        <v>4.3295824505173046E-2</v>
      </c>
      <c r="G15" s="23">
        <v>9.6225778415778992E-2</v>
      </c>
      <c r="H15" s="23">
        <v>0.5868478236486192</v>
      </c>
      <c r="I15" s="23"/>
      <c r="J15" s="23"/>
      <c r="K15" s="23">
        <v>2340</v>
      </c>
      <c r="L15" s="4">
        <v>1.4</v>
      </c>
      <c r="M15" s="23" t="s">
        <v>471</v>
      </c>
    </row>
    <row r="16" spans="1:25" ht="15.75" x14ac:dyDescent="0.5">
      <c r="A16" s="4" t="s">
        <v>392</v>
      </c>
      <c r="B16" s="4" t="s">
        <v>260</v>
      </c>
      <c r="C16" s="4" t="s">
        <v>240</v>
      </c>
      <c r="D16" s="23">
        <v>0.96885190926662101</v>
      </c>
      <c r="E16" s="23">
        <v>1.0504992021872901</v>
      </c>
      <c r="F16" s="23">
        <v>0.12506783392176499</v>
      </c>
      <c r="G16" s="23">
        <v>0.25140556386449697</v>
      </c>
      <c r="H16" s="23">
        <v>3.8560990916917701</v>
      </c>
      <c r="I16" s="23"/>
      <c r="J16" s="23">
        <v>10</v>
      </c>
      <c r="K16" s="23">
        <v>800</v>
      </c>
      <c r="L16" s="4">
        <v>0.2</v>
      </c>
      <c r="M16" s="23" t="s">
        <v>471</v>
      </c>
    </row>
    <row r="17" spans="1:13" ht="15.75" x14ac:dyDescent="0.5">
      <c r="A17" s="4" t="s">
        <v>415</v>
      </c>
      <c r="B17" s="4" t="s">
        <v>260</v>
      </c>
      <c r="C17" s="4" t="s">
        <v>261</v>
      </c>
      <c r="D17" s="23">
        <v>0.96885190926662101</v>
      </c>
      <c r="E17" s="23">
        <v>1.0504992021872901</v>
      </c>
      <c r="F17" s="23">
        <v>0.12506783392176499</v>
      </c>
      <c r="G17" s="23">
        <v>0.25140556386449697</v>
      </c>
      <c r="H17" s="23">
        <v>3.8560990916917701</v>
      </c>
      <c r="I17" s="23"/>
      <c r="J17" s="23">
        <v>8.5</v>
      </c>
      <c r="K17" s="23">
        <v>800</v>
      </c>
      <c r="L17" s="4">
        <v>0.2</v>
      </c>
      <c r="M17" s="23" t="s">
        <v>471</v>
      </c>
    </row>
    <row r="18" spans="1:13" ht="15.75" x14ac:dyDescent="0.5">
      <c r="A18" s="4" t="s">
        <v>418</v>
      </c>
      <c r="B18" s="4" t="s">
        <v>260</v>
      </c>
      <c r="C18" s="4" t="s">
        <v>262</v>
      </c>
      <c r="D18" s="23">
        <v>0.80509934371059</v>
      </c>
      <c r="E18" s="23">
        <v>0.86769640312802299</v>
      </c>
      <c r="F18" s="23">
        <v>9.2125120970429505E-2</v>
      </c>
      <c r="G18" s="23">
        <v>0.18640495465325899</v>
      </c>
      <c r="H18" s="23">
        <v>2.8056453844417999</v>
      </c>
      <c r="I18" s="23"/>
      <c r="J18" s="23">
        <v>24.07</v>
      </c>
      <c r="K18" s="23">
        <v>1180</v>
      </c>
      <c r="L18" s="4">
        <v>1.2</v>
      </c>
      <c r="M18" s="23" t="s">
        <v>471</v>
      </c>
    </row>
    <row r="19" spans="1:13" ht="15.75" x14ac:dyDescent="0.5">
      <c r="A19" s="4" t="s">
        <v>384</v>
      </c>
      <c r="B19" s="4" t="s">
        <v>263</v>
      </c>
      <c r="C19" s="4" t="s">
        <v>264</v>
      </c>
      <c r="D19" s="23">
        <v>1.21786946518552</v>
      </c>
      <c r="E19" s="23">
        <v>1.2454258557231399</v>
      </c>
      <c r="F19" s="23">
        <v>6.3388648712501494E-2</v>
      </c>
      <c r="G19" s="23">
        <v>0.148090338874938</v>
      </c>
      <c r="H19" s="23">
        <v>1.1635519151456499</v>
      </c>
      <c r="I19" s="23"/>
      <c r="J19" s="23"/>
      <c r="K19" s="23">
        <v>2000</v>
      </c>
      <c r="L19" s="4">
        <v>0.9</v>
      </c>
      <c r="M19" s="23" t="s">
        <v>471</v>
      </c>
    </row>
    <row r="20" spans="1:13" ht="15.75" x14ac:dyDescent="0.5">
      <c r="A20" s="4" t="s">
        <v>402</v>
      </c>
      <c r="B20" s="4" t="s">
        <v>263</v>
      </c>
      <c r="C20" s="4" t="s">
        <v>265</v>
      </c>
      <c r="D20" s="23">
        <v>1.6955091661875299</v>
      </c>
      <c r="E20" s="23">
        <v>3.3909362424296701</v>
      </c>
      <c r="F20" s="23">
        <v>9.6393325547637701E-2</v>
      </c>
      <c r="G20" s="23">
        <v>0.44916882966411997</v>
      </c>
      <c r="H20" s="23">
        <v>6.0324712773808198</v>
      </c>
      <c r="I20" s="23"/>
      <c r="J20" s="23"/>
      <c r="K20" s="23">
        <v>605</v>
      </c>
      <c r="L20" s="4">
        <v>1.1000000000000001</v>
      </c>
      <c r="M20" s="23" t="s">
        <v>471</v>
      </c>
    </row>
    <row r="21" spans="1:13" ht="15.75" x14ac:dyDescent="0.5">
      <c r="A21" s="4" t="s">
        <v>390</v>
      </c>
      <c r="B21" s="4" t="s">
        <v>263</v>
      </c>
      <c r="C21" s="4" t="s">
        <v>266</v>
      </c>
      <c r="D21" s="23">
        <v>1.50994986967251</v>
      </c>
      <c r="E21" s="23">
        <v>3.2952073023788802</v>
      </c>
      <c r="F21" s="23">
        <v>2.5138673307104099E-2</v>
      </c>
      <c r="G21" s="23">
        <v>0.24246072670011701</v>
      </c>
      <c r="H21" s="23">
        <v>2.6790167128996201</v>
      </c>
      <c r="I21" s="23"/>
      <c r="J21" s="23"/>
      <c r="K21" s="23">
        <v>575</v>
      </c>
      <c r="L21" s="4">
        <v>1.1000000000000001</v>
      </c>
      <c r="M21" s="23" t="s">
        <v>471</v>
      </c>
    </row>
    <row r="22" spans="1:13" ht="15.75" x14ac:dyDescent="0.5">
      <c r="A22" s="4" t="s">
        <v>405</v>
      </c>
      <c r="B22" s="4" t="s">
        <v>263</v>
      </c>
      <c r="C22" s="4" t="s">
        <v>267</v>
      </c>
      <c r="D22" s="23">
        <v>1.54069697458062</v>
      </c>
      <c r="E22" s="23">
        <v>3.3332210486355902</v>
      </c>
      <c r="F22" s="23">
        <v>3.63201313079069E-2</v>
      </c>
      <c r="G22" s="23">
        <v>0.35510626825062702</v>
      </c>
      <c r="H22" s="23">
        <v>3.88277563065654</v>
      </c>
      <c r="I22" s="23"/>
      <c r="J22" s="23"/>
      <c r="K22" s="23">
        <v>1800</v>
      </c>
      <c r="L22" s="4">
        <v>1.1000000000000001</v>
      </c>
      <c r="M22" s="23" t="s">
        <v>471</v>
      </c>
    </row>
    <row r="23" spans="1:13" ht="15.75" x14ac:dyDescent="0.5">
      <c r="A23" s="4" t="s">
        <v>379</v>
      </c>
      <c r="B23" s="4" t="s">
        <v>268</v>
      </c>
      <c r="C23" s="4" t="s">
        <v>269</v>
      </c>
      <c r="D23" s="23">
        <v>2.1003424854256298</v>
      </c>
      <c r="E23" s="23">
        <v>2.46128472333876</v>
      </c>
      <c r="F23" s="23">
        <v>2.6477798947147702</v>
      </c>
      <c r="G23" s="23">
        <v>3.6729252809899502</v>
      </c>
      <c r="H23" s="23">
        <v>86.216752556975095</v>
      </c>
      <c r="I23" s="23"/>
      <c r="J23" s="23"/>
      <c r="K23" s="23">
        <v>25</v>
      </c>
      <c r="L23" s="4">
        <v>0.03</v>
      </c>
      <c r="M23" s="23" t="s">
        <v>471</v>
      </c>
    </row>
    <row r="24" spans="1:13" ht="15.75" x14ac:dyDescent="0.5">
      <c r="A24" s="4" t="s">
        <v>369</v>
      </c>
      <c r="B24" s="4" t="s">
        <v>268</v>
      </c>
      <c r="C24" s="4" t="s">
        <v>270</v>
      </c>
      <c r="D24" s="23">
        <v>2.6597248855523601</v>
      </c>
      <c r="E24" s="23">
        <v>3.27897170855986</v>
      </c>
      <c r="F24" s="23">
        <v>3.2901809949673999</v>
      </c>
      <c r="G24" s="23">
        <v>4.0711669819153098</v>
      </c>
      <c r="H24" s="23">
        <v>94.345681815841601</v>
      </c>
      <c r="I24" s="23"/>
      <c r="J24" s="23"/>
      <c r="K24" s="23">
        <v>32</v>
      </c>
      <c r="L24" s="4">
        <v>3.6999999999999998E-2</v>
      </c>
      <c r="M24" s="23" t="s">
        <v>471</v>
      </c>
    </row>
    <row r="25" spans="1:13" ht="15.75" x14ac:dyDescent="0.5">
      <c r="A25" s="4" t="s">
        <v>395</v>
      </c>
      <c r="B25" s="4" t="s">
        <v>268</v>
      </c>
      <c r="C25" s="4" t="s">
        <v>271</v>
      </c>
      <c r="D25" s="23">
        <v>2.4150514231720699</v>
      </c>
      <c r="E25" s="23">
        <v>1.5687126058377301</v>
      </c>
      <c r="F25" s="23">
        <v>0.47882097704399501</v>
      </c>
      <c r="G25" s="23">
        <v>1.0169828530107099</v>
      </c>
      <c r="H25" s="23">
        <v>19.207584200043801</v>
      </c>
      <c r="I25" s="23"/>
      <c r="J25" s="23"/>
      <c r="K25" s="23">
        <v>38</v>
      </c>
      <c r="L25" s="4">
        <v>4.4999999999999998E-2</v>
      </c>
      <c r="M25" s="23" t="s">
        <v>471</v>
      </c>
    </row>
    <row r="26" spans="1:13" ht="15.75" x14ac:dyDescent="0.5">
      <c r="A26" s="4" t="s">
        <v>408</v>
      </c>
      <c r="B26" s="4" t="s">
        <v>268</v>
      </c>
      <c r="C26" s="4" t="s">
        <v>272</v>
      </c>
      <c r="D26" s="23">
        <v>1.5596080835258306</v>
      </c>
      <c r="E26" s="23">
        <v>1.8749054715295224</v>
      </c>
      <c r="F26" s="23">
        <v>0.64080737111320762</v>
      </c>
      <c r="G26" s="23">
        <v>0.93832415909912592</v>
      </c>
      <c r="H26" s="23">
        <v>15.965986856159121</v>
      </c>
      <c r="I26" s="23"/>
      <c r="J26" s="23"/>
      <c r="K26" s="23">
        <v>150.76</v>
      </c>
      <c r="L26" s="4">
        <v>3.2000000000000001E-2</v>
      </c>
      <c r="M26" s="23" t="s">
        <v>471</v>
      </c>
    </row>
    <row r="27" spans="1:13" ht="15.75" x14ac:dyDescent="0.5">
      <c r="A27" s="4" t="s">
        <v>387</v>
      </c>
      <c r="B27" s="4" t="s">
        <v>268</v>
      </c>
      <c r="C27" s="4" t="s">
        <v>227</v>
      </c>
      <c r="D27" s="23">
        <v>1.92706017760584</v>
      </c>
      <c r="E27" s="23">
        <v>2.3385986144534399</v>
      </c>
      <c r="F27" s="23">
        <v>1.0836934066958299</v>
      </c>
      <c r="G27" s="23">
        <v>0.98983083109735504</v>
      </c>
      <c r="H27" s="23">
        <v>21.274479489986401</v>
      </c>
      <c r="I27" s="23"/>
      <c r="J27" s="23"/>
      <c r="K27" s="23">
        <v>46.25</v>
      </c>
      <c r="L27" s="4">
        <v>4.2000000000000003E-2</v>
      </c>
      <c r="M27" s="23" t="s">
        <v>471</v>
      </c>
    </row>
    <row r="28" spans="1:13" ht="15.75" x14ac:dyDescent="0.5">
      <c r="A28" s="4" t="s">
        <v>422</v>
      </c>
      <c r="B28" s="4" t="s">
        <v>268</v>
      </c>
      <c r="C28" s="4" t="s">
        <v>273</v>
      </c>
      <c r="D28" s="23">
        <v>6.4489819998670299</v>
      </c>
      <c r="E28" s="23">
        <v>8.1411251744168194</v>
      </c>
      <c r="F28" s="23">
        <v>5.3293260919199303</v>
      </c>
      <c r="G28" s="23">
        <v>3.1255245212</v>
      </c>
      <c r="H28" s="23">
        <v>72.547546199999999</v>
      </c>
      <c r="I28" s="23"/>
      <c r="J28" s="23"/>
      <c r="K28" s="23">
        <v>30</v>
      </c>
      <c r="L28" s="4">
        <v>2.5999999999999999E-2</v>
      </c>
      <c r="M28" s="23" t="s">
        <v>471</v>
      </c>
    </row>
    <row r="29" spans="1:13" ht="15.75" x14ac:dyDescent="0.5">
      <c r="A29" s="4" t="s">
        <v>473</v>
      </c>
      <c r="B29" s="4" t="s">
        <v>268</v>
      </c>
      <c r="C29" s="4" t="s">
        <v>274</v>
      </c>
      <c r="D29" s="23">
        <v>5.8593334855543198</v>
      </c>
      <c r="E29" s="23">
        <v>7.1475811892552699</v>
      </c>
      <c r="F29" s="23">
        <v>5.4869218964140698</v>
      </c>
      <c r="G29" s="23">
        <v>4.7279295544482398</v>
      </c>
      <c r="H29" s="23">
        <v>109.109772692192</v>
      </c>
      <c r="I29" s="23"/>
      <c r="J29" s="23"/>
      <c r="K29" s="23">
        <v>30</v>
      </c>
      <c r="L29" s="4">
        <v>0.1</v>
      </c>
      <c r="M29" s="23" t="s">
        <v>471</v>
      </c>
    </row>
    <row r="30" spans="1:13" ht="15.75" x14ac:dyDescent="0.5">
      <c r="A30" s="4" t="s">
        <v>446</v>
      </c>
      <c r="B30" s="4" t="s">
        <v>268</v>
      </c>
      <c r="C30" s="4" t="s">
        <v>275</v>
      </c>
      <c r="D30" s="23">
        <v>1.1908317854300425</v>
      </c>
      <c r="E30" s="23">
        <v>1.2144634895203807</v>
      </c>
      <c r="F30" s="23">
        <v>0.105592224582313</v>
      </c>
      <c r="G30" s="23">
        <v>0.120006545018566</v>
      </c>
      <c r="H30" s="23">
        <v>1.01269313979981</v>
      </c>
      <c r="I30" s="23"/>
      <c r="J30" s="23"/>
      <c r="K30" s="23">
        <v>100</v>
      </c>
      <c r="L30" s="4">
        <v>4.8000000000000001E-2</v>
      </c>
      <c r="M30" s="23" t="s">
        <v>471</v>
      </c>
    </row>
    <row r="31" spans="1:13" ht="15.75" x14ac:dyDescent="0.5">
      <c r="A31" s="4" t="s">
        <v>398</v>
      </c>
      <c r="B31" s="4" t="s">
        <v>268</v>
      </c>
      <c r="C31" s="4" t="s">
        <v>276</v>
      </c>
      <c r="D31" s="23">
        <v>1.541259832961575</v>
      </c>
      <c r="E31" s="23">
        <v>1.9463857725295874</v>
      </c>
      <c r="F31" s="23">
        <v>7.8480926479552404E-2</v>
      </c>
      <c r="G31" s="23">
        <v>0.62616468532297742</v>
      </c>
      <c r="H31" s="23">
        <v>9.8311683336889253</v>
      </c>
      <c r="I31" s="23"/>
      <c r="J31" s="23"/>
      <c r="K31" s="23">
        <v>80</v>
      </c>
      <c r="L31" s="4">
        <v>3.9E-2</v>
      </c>
      <c r="M31" s="23" t="s">
        <v>471</v>
      </c>
    </row>
    <row r="32" spans="1:13" ht="15.75" x14ac:dyDescent="0.5">
      <c r="A32" s="4" t="s">
        <v>443</v>
      </c>
      <c r="B32" s="4" t="s">
        <v>277</v>
      </c>
      <c r="C32" s="4" t="s">
        <v>243</v>
      </c>
      <c r="D32" s="23">
        <v>2.0222050263648477</v>
      </c>
      <c r="E32" s="23">
        <v>2.3409178880760821</v>
      </c>
      <c r="F32" s="23">
        <v>8.4936210747628832E-2</v>
      </c>
      <c r="G32" s="23">
        <v>0.21056638743173911</v>
      </c>
      <c r="H32" s="23">
        <v>3.8128393605674376</v>
      </c>
      <c r="I32" s="23"/>
      <c r="J32" s="23"/>
      <c r="K32" s="23">
        <v>492.92</v>
      </c>
      <c r="L32" s="4">
        <v>0.1</v>
      </c>
      <c r="M32" s="23" t="s">
        <v>471</v>
      </c>
    </row>
    <row r="33" spans="1:13" ht="15.75" x14ac:dyDescent="0.5">
      <c r="A33" s="4" t="s">
        <v>373</v>
      </c>
      <c r="B33" s="4" t="s">
        <v>278</v>
      </c>
      <c r="C33" s="4" t="s">
        <v>279</v>
      </c>
      <c r="D33" s="23">
        <v>1.58972718867276</v>
      </c>
      <c r="E33" s="23">
        <v>2.0113932749497598</v>
      </c>
      <c r="F33" s="23">
        <v>0.19333139296344301</v>
      </c>
      <c r="G33" s="23">
        <v>0.57367454038810595</v>
      </c>
      <c r="H33" s="23">
        <v>38.128067168827002</v>
      </c>
      <c r="I33" s="23"/>
      <c r="J33" s="23">
        <v>5</v>
      </c>
      <c r="K33" s="23">
        <v>1200</v>
      </c>
      <c r="L33" s="4">
        <v>0.215</v>
      </c>
      <c r="M33" s="23" t="s">
        <v>471</v>
      </c>
    </row>
    <row r="34" spans="1:13" ht="15.75" x14ac:dyDescent="0.5">
      <c r="A34" s="4" t="s">
        <v>424</v>
      </c>
      <c r="B34" s="4" t="s">
        <v>278</v>
      </c>
      <c r="C34" s="4" t="s">
        <v>280</v>
      </c>
      <c r="D34" s="23">
        <v>3.4188670178100802</v>
      </c>
      <c r="E34" s="23">
        <v>4.4577405144526701</v>
      </c>
      <c r="F34" s="23">
        <v>2.04906666291763</v>
      </c>
      <c r="G34" s="23">
        <v>2.3874571602235499</v>
      </c>
      <c r="H34" s="23">
        <v>80.552413683501996</v>
      </c>
      <c r="I34" s="23"/>
      <c r="J34" s="23">
        <v>2</v>
      </c>
      <c r="K34" s="23">
        <v>1150</v>
      </c>
      <c r="L34" s="4">
        <v>0.3</v>
      </c>
      <c r="M34" s="23" t="s">
        <v>471</v>
      </c>
    </row>
    <row r="35" spans="1:13" ht="15.75" x14ac:dyDescent="0.5">
      <c r="A35" s="4" t="s">
        <v>421</v>
      </c>
      <c r="B35" s="4" t="s">
        <v>278</v>
      </c>
      <c r="C35" s="4" t="s">
        <v>281</v>
      </c>
      <c r="D35" s="23">
        <v>8.6307129370640094</v>
      </c>
      <c r="E35" s="23">
        <v>9.5196710072427013</v>
      </c>
      <c r="F35" s="23">
        <v>3.5396131250683158</v>
      </c>
      <c r="G35" s="23">
        <v>1.6222566445216289</v>
      </c>
      <c r="H35" s="23">
        <v>27.307063805307301</v>
      </c>
      <c r="I35" s="23"/>
      <c r="J35" s="23">
        <v>3</v>
      </c>
      <c r="K35" s="23">
        <v>1200</v>
      </c>
      <c r="L35" s="4">
        <v>0.2</v>
      </c>
      <c r="M35" s="23" t="s">
        <v>471</v>
      </c>
    </row>
    <row r="36" spans="1:13" ht="15.75" x14ac:dyDescent="0.5">
      <c r="A36" s="4" t="s">
        <v>366</v>
      </c>
      <c r="B36" s="4" t="s">
        <v>278</v>
      </c>
      <c r="C36" s="4" t="s">
        <v>282</v>
      </c>
      <c r="D36" s="23">
        <v>2.0347658573196998</v>
      </c>
      <c r="E36" s="23">
        <v>2.5397635599695598</v>
      </c>
      <c r="F36" s="23">
        <v>1.04277696454334</v>
      </c>
      <c r="G36" s="23">
        <v>1.9901842067047</v>
      </c>
      <c r="H36" s="23">
        <v>73.710334419302001</v>
      </c>
      <c r="I36" s="23"/>
      <c r="J36" s="23">
        <v>0.2</v>
      </c>
      <c r="K36" s="23">
        <v>1390</v>
      </c>
      <c r="L36" s="4">
        <v>0.17</v>
      </c>
      <c r="M36" s="23" t="s">
        <v>471</v>
      </c>
    </row>
    <row r="37" spans="1:13" ht="15.75" x14ac:dyDescent="0.5">
      <c r="A37" s="4" t="s">
        <v>430</v>
      </c>
      <c r="B37" s="4" t="s">
        <v>278</v>
      </c>
      <c r="C37" s="4" t="s">
        <v>283</v>
      </c>
      <c r="D37" s="23">
        <v>1.54069697458062</v>
      </c>
      <c r="E37" s="23">
        <v>3.3332210486355902</v>
      </c>
      <c r="F37" s="23">
        <v>3.63201313079069E-2</v>
      </c>
      <c r="G37" s="23">
        <v>0.35510626825062702</v>
      </c>
      <c r="H37" s="23">
        <v>3.88277563065654</v>
      </c>
      <c r="I37" s="23"/>
      <c r="J37" s="23">
        <v>45</v>
      </c>
      <c r="K37" s="23">
        <v>2000</v>
      </c>
      <c r="L37" s="4">
        <v>1</v>
      </c>
      <c r="M37" s="23" t="s">
        <v>471</v>
      </c>
    </row>
    <row r="38" spans="1:13" ht="15.75" x14ac:dyDescent="0.5">
      <c r="A38" s="4" t="s">
        <v>428</v>
      </c>
      <c r="B38" s="4" t="s">
        <v>278</v>
      </c>
      <c r="C38" s="4" t="s">
        <v>284</v>
      </c>
      <c r="D38" s="23">
        <v>3.7156462128304999</v>
      </c>
      <c r="E38" s="23">
        <v>4.4395115108683703</v>
      </c>
      <c r="F38" s="23">
        <v>1.26333985335998</v>
      </c>
      <c r="G38" s="23">
        <v>2.8328724704455399</v>
      </c>
      <c r="H38" s="23">
        <v>84.459359204071205</v>
      </c>
      <c r="I38" s="23"/>
      <c r="J38" s="23">
        <v>0.15</v>
      </c>
      <c r="K38" s="23"/>
      <c r="L38" s="4">
        <v>0.22</v>
      </c>
      <c r="M38" s="23" t="s">
        <v>471</v>
      </c>
    </row>
    <row r="39" spans="1:13" ht="15.75" x14ac:dyDescent="0.5">
      <c r="A39" s="4" t="s">
        <v>436</v>
      </c>
      <c r="B39" s="4" t="s">
        <v>285</v>
      </c>
      <c r="C39" s="4" t="s">
        <v>229</v>
      </c>
      <c r="D39" s="23">
        <v>5.2305750240244198</v>
      </c>
      <c r="E39" s="23">
        <v>8.2551527852948006</v>
      </c>
      <c r="F39" s="23">
        <v>0.91400813772409895</v>
      </c>
      <c r="G39" s="23">
        <v>2.16703351907544</v>
      </c>
      <c r="H39" s="23">
        <v>30.559479713603999</v>
      </c>
      <c r="I39" s="23"/>
      <c r="J39" s="23"/>
      <c r="K39" s="23">
        <v>7850</v>
      </c>
      <c r="L39" s="4">
        <v>50</v>
      </c>
      <c r="M39" s="23" t="s">
        <v>471</v>
      </c>
    </row>
    <row r="40" spans="1:13" ht="15.75" x14ac:dyDescent="0.5">
      <c r="A40" s="4" t="s">
        <v>474</v>
      </c>
      <c r="B40" s="4" t="s">
        <v>285</v>
      </c>
      <c r="C40" s="4" t="s">
        <v>286</v>
      </c>
      <c r="D40" s="23">
        <v>19.324679301262176</v>
      </c>
      <c r="E40" s="23">
        <v>28.404311127913395</v>
      </c>
      <c r="F40" s="23">
        <v>2.8614877105641603</v>
      </c>
      <c r="G40" s="23">
        <v>5.84453303225557</v>
      </c>
      <c r="H40" s="23">
        <v>87.498165378825632</v>
      </c>
      <c r="I40" s="23"/>
      <c r="J40" s="23">
        <v>5.72</v>
      </c>
      <c r="K40" s="23">
        <v>7800</v>
      </c>
      <c r="L40" s="4">
        <v>50</v>
      </c>
      <c r="M40" s="23" t="s">
        <v>471</v>
      </c>
    </row>
    <row r="41" spans="1:13" ht="15.75" x14ac:dyDescent="0.5">
      <c r="A41" s="4" t="s">
        <v>426</v>
      </c>
      <c r="B41" s="4" t="s">
        <v>285</v>
      </c>
      <c r="C41" s="4" t="s">
        <v>287</v>
      </c>
      <c r="D41" s="23">
        <v>1.05118878511686</v>
      </c>
      <c r="E41" s="23">
        <v>1.06530480793812</v>
      </c>
      <c r="F41" s="23">
        <v>1.6191656465844698E-2</v>
      </c>
      <c r="G41" s="23">
        <v>8.2945055262270192E-3</v>
      </c>
      <c r="H41" s="23">
        <v>0.14603007775488999</v>
      </c>
      <c r="I41" s="23"/>
      <c r="J41" s="23"/>
      <c r="K41" s="23">
        <v>1850</v>
      </c>
      <c r="L41" s="4">
        <v>1.4</v>
      </c>
      <c r="M41" s="23" t="s">
        <v>471</v>
      </c>
    </row>
    <row r="42" spans="1:13" ht="15.75" x14ac:dyDescent="0.5">
      <c r="A42" s="4" t="s">
        <v>475</v>
      </c>
      <c r="B42" s="4" t="s">
        <v>285</v>
      </c>
      <c r="C42" s="4" t="s">
        <v>288</v>
      </c>
      <c r="D42" s="23">
        <v>1.1383291752697899</v>
      </c>
      <c r="E42" s="23">
        <v>2.4842962471413998</v>
      </c>
      <c r="F42" s="23">
        <v>9.4748394840804107E-2</v>
      </c>
      <c r="G42" s="23">
        <v>0.13228323534737901</v>
      </c>
      <c r="H42" s="23">
        <v>2.3068095906201398</v>
      </c>
      <c r="I42" s="23"/>
      <c r="J42" s="23">
        <v>14</v>
      </c>
      <c r="K42" s="23">
        <v>1136.4000000000001</v>
      </c>
      <c r="L42" s="4">
        <v>0.13</v>
      </c>
      <c r="M42" s="23" t="s">
        <v>471</v>
      </c>
    </row>
    <row r="43" spans="1:13" ht="15.75" x14ac:dyDescent="0.5">
      <c r="A43" s="4" t="s">
        <v>476</v>
      </c>
      <c r="B43" s="4" t="s">
        <v>285</v>
      </c>
      <c r="C43" s="4" t="s">
        <v>289</v>
      </c>
      <c r="D43" s="23">
        <v>1.1383291752697899</v>
      </c>
      <c r="E43" s="23">
        <v>2.4842962471413998</v>
      </c>
      <c r="F43" s="23">
        <v>9.4748394840804107E-2</v>
      </c>
      <c r="G43" s="23">
        <v>0.13228323534737901</v>
      </c>
      <c r="H43" s="23">
        <v>2.3068095906201398</v>
      </c>
      <c r="I43" s="23"/>
      <c r="J43" s="23"/>
      <c r="K43" s="23">
        <v>1200</v>
      </c>
      <c r="L43" s="4">
        <v>0.62</v>
      </c>
      <c r="M43" s="23" t="s">
        <v>471</v>
      </c>
    </row>
    <row r="44" spans="1:13" ht="15.75" x14ac:dyDescent="0.5">
      <c r="A44" s="4" t="s">
        <v>452</v>
      </c>
      <c r="B44" s="4" t="s">
        <v>285</v>
      </c>
      <c r="C44" s="4" t="s">
        <v>290</v>
      </c>
      <c r="D44" s="23">
        <v>5.94068213610998</v>
      </c>
      <c r="E44" s="23">
        <v>9.2724515944817494</v>
      </c>
      <c r="F44" s="23">
        <v>1.0930795810332701</v>
      </c>
      <c r="G44" s="23">
        <v>2.1774501636947199</v>
      </c>
      <c r="H44" s="23">
        <v>31.691077741736599</v>
      </c>
      <c r="I44" s="23">
        <v>30.4</v>
      </c>
      <c r="J44" s="23"/>
      <c r="K44" s="23">
        <v>7850</v>
      </c>
      <c r="L44" s="4">
        <v>50</v>
      </c>
      <c r="M44" s="23" t="s">
        <v>471</v>
      </c>
    </row>
    <row r="45" spans="1:13" ht="15.75" x14ac:dyDescent="0.5">
      <c r="A45" s="4" t="s">
        <v>477</v>
      </c>
      <c r="B45" s="4" t="s">
        <v>285</v>
      </c>
      <c r="C45" s="4" t="s">
        <v>291</v>
      </c>
      <c r="D45" s="23">
        <v>0</v>
      </c>
      <c r="E45" s="23">
        <v>0</v>
      </c>
      <c r="F45" s="23">
        <v>0</v>
      </c>
      <c r="G45" s="23">
        <v>0</v>
      </c>
      <c r="H45" s="23">
        <v>0</v>
      </c>
      <c r="I45" s="23"/>
      <c r="J45" s="23"/>
      <c r="K45" s="23">
        <v>7850</v>
      </c>
      <c r="L45" s="4">
        <v>50</v>
      </c>
      <c r="M45" s="23" t="s">
        <v>471</v>
      </c>
    </row>
    <row r="46" spans="1:13" ht="15.75" x14ac:dyDescent="0.5">
      <c r="A46" s="4" t="s">
        <v>412</v>
      </c>
      <c r="B46" s="4" t="s">
        <v>285</v>
      </c>
      <c r="C46" s="4" t="s">
        <v>292</v>
      </c>
      <c r="D46" s="23">
        <v>1.0857381275534099</v>
      </c>
      <c r="E46" s="23">
        <v>2.42578758630109</v>
      </c>
      <c r="F46" s="23">
        <v>8.7266300103437305E-2</v>
      </c>
      <c r="G46" s="23">
        <v>3.0003210614524399E-2</v>
      </c>
      <c r="H46" s="23">
        <v>0.40517352372021298</v>
      </c>
      <c r="I46" s="23"/>
      <c r="J46" s="23"/>
      <c r="K46" s="23">
        <v>2000</v>
      </c>
      <c r="L46" s="4">
        <v>1.1299999999999999</v>
      </c>
      <c r="M46" s="23" t="s">
        <v>471</v>
      </c>
    </row>
    <row r="47" spans="1:13" ht="15.75" x14ac:dyDescent="0.5">
      <c r="A47" s="4" t="s">
        <v>450</v>
      </c>
      <c r="B47" s="4" t="s">
        <v>293</v>
      </c>
      <c r="C47" s="4" t="s">
        <v>294</v>
      </c>
      <c r="D47" s="23">
        <v>2.6874589194703304</v>
      </c>
      <c r="E47" s="23">
        <v>3.1353562172814535</v>
      </c>
      <c r="F47" s="23">
        <v>0.5801926638685394</v>
      </c>
      <c r="G47" s="23">
        <v>1.7873203553618882</v>
      </c>
      <c r="H47" s="23">
        <v>25.772404942581307</v>
      </c>
      <c r="I47" s="23"/>
      <c r="J47" s="23">
        <v>30</v>
      </c>
      <c r="K47" s="23"/>
      <c r="L47" s="4">
        <v>0.03</v>
      </c>
      <c r="M47" s="23" t="s">
        <v>471</v>
      </c>
    </row>
    <row r="48" spans="1:13" ht="15.75" x14ac:dyDescent="0.5">
      <c r="A48" s="4" t="s">
        <v>448</v>
      </c>
      <c r="B48" s="4" t="s">
        <v>293</v>
      </c>
      <c r="C48" s="4" t="s">
        <v>354</v>
      </c>
      <c r="D48" s="23">
        <v>15.330945379002401</v>
      </c>
      <c r="E48" s="23">
        <v>21.000883026525599</v>
      </c>
      <c r="F48" s="23">
        <v>4.7144495922427501</v>
      </c>
      <c r="G48" s="23">
        <v>13.545195251124699</v>
      </c>
      <c r="H48" s="23">
        <v>190.80022112989701</v>
      </c>
      <c r="I48" s="23">
        <v>5.7</v>
      </c>
      <c r="J48" s="23"/>
      <c r="K48" s="23"/>
      <c r="L48" s="4"/>
      <c r="M48" s="23" t="s">
        <v>471</v>
      </c>
    </row>
    <row r="49" spans="1:14" ht="15.75" x14ac:dyDescent="0.5">
      <c r="A49" s="4" t="s">
        <v>450</v>
      </c>
      <c r="B49" s="4" t="s">
        <v>293</v>
      </c>
      <c r="C49" s="4" t="s">
        <v>294</v>
      </c>
      <c r="D49" s="23">
        <v>2.6874589194703304</v>
      </c>
      <c r="E49" s="23">
        <v>3.1353562172814535</v>
      </c>
      <c r="F49" s="23">
        <v>0.5801926638685394</v>
      </c>
      <c r="G49" s="23">
        <v>1.7873203553618882</v>
      </c>
      <c r="H49" s="23">
        <v>25.772404942581307</v>
      </c>
      <c r="I49" s="23"/>
      <c r="J49" s="23"/>
      <c r="K49" s="4"/>
      <c r="L49" s="23"/>
      <c r="M49" s="23" t="s">
        <v>471</v>
      </c>
    </row>
    <row r="50" spans="1:14" ht="15.75" x14ac:dyDescent="0.5">
      <c r="A50" s="4" t="s">
        <v>478</v>
      </c>
      <c r="B50" s="4" t="s">
        <v>293</v>
      </c>
      <c r="C50" s="4" t="s">
        <v>295</v>
      </c>
      <c r="D50" s="23">
        <v>15.330945379002401</v>
      </c>
      <c r="E50" s="23">
        <v>21.000883026525599</v>
      </c>
      <c r="F50" s="23">
        <v>4.7144495922427501</v>
      </c>
      <c r="G50" s="23">
        <v>13.545195251124699</v>
      </c>
      <c r="H50" s="23">
        <v>190.80022112989701</v>
      </c>
      <c r="I50" s="139">
        <v>2.11</v>
      </c>
      <c r="J50" s="139">
        <v>28</v>
      </c>
      <c r="K50" s="139">
        <v>500</v>
      </c>
      <c r="L50" s="23"/>
      <c r="M50" s="23" t="s">
        <v>471</v>
      </c>
    </row>
    <row r="51" spans="1:14" ht="15.75" x14ac:dyDescent="0.5">
      <c r="A51" s="4" t="s">
        <v>479</v>
      </c>
      <c r="B51" s="4" t="s">
        <v>293</v>
      </c>
      <c r="C51" s="4" t="s">
        <v>296</v>
      </c>
      <c r="D51" s="139">
        <v>2.9580977574313785</v>
      </c>
      <c r="E51" s="139">
        <v>3.5557464069243303</v>
      </c>
      <c r="F51" s="139">
        <v>0.61381633283674208</v>
      </c>
      <c r="G51" s="139">
        <v>1.6143974947536408</v>
      </c>
      <c r="H51" s="139">
        <v>22.427952581710805</v>
      </c>
      <c r="I51" s="23"/>
      <c r="J51" s="139">
        <v>20.5</v>
      </c>
      <c r="K51" s="4"/>
      <c r="L51" s="23"/>
      <c r="M51" s="23" t="s">
        <v>471</v>
      </c>
    </row>
    <row r="52" spans="1:14" ht="15.75" x14ac:dyDescent="0.5">
      <c r="A52" s="4" t="s">
        <v>480</v>
      </c>
      <c r="B52" s="4" t="s">
        <v>293</v>
      </c>
      <c r="C52" s="4" t="s">
        <v>297</v>
      </c>
      <c r="D52" s="139">
        <v>15.282595588614704</v>
      </c>
      <c r="E52" s="139">
        <v>20.898832451567937</v>
      </c>
      <c r="F52" s="139">
        <v>4.7113680216600091</v>
      </c>
      <c r="G52" s="139">
        <v>13.523614456180979</v>
      </c>
      <c r="H52" s="139">
        <v>190.5670694757892</v>
      </c>
      <c r="I52" s="139">
        <v>1.02</v>
      </c>
      <c r="J52" s="139"/>
      <c r="K52" s="4"/>
      <c r="L52" s="23"/>
      <c r="M52" s="23" t="s">
        <v>471</v>
      </c>
    </row>
    <row r="53" spans="1:14" ht="15.75" x14ac:dyDescent="0.5">
      <c r="A53" s="4" t="s">
        <v>481</v>
      </c>
      <c r="B53" s="4" t="s">
        <v>293</v>
      </c>
      <c r="C53" s="4" t="s">
        <v>298</v>
      </c>
      <c r="D53" s="139">
        <v>5.2534036030816074</v>
      </c>
      <c r="E53" s="139">
        <v>7.277429150059799</v>
      </c>
      <c r="F53" s="139">
        <v>1.9830824907882785</v>
      </c>
      <c r="G53" s="139">
        <v>2.9660592333036675</v>
      </c>
      <c r="H53" s="139">
        <v>60.6759506156409</v>
      </c>
      <c r="I53" s="139">
        <v>3.1</v>
      </c>
      <c r="J53" s="139"/>
      <c r="K53" s="4"/>
      <c r="L53" s="23"/>
      <c r="M53" s="23" t="s">
        <v>471</v>
      </c>
    </row>
    <row r="54" spans="1:14" ht="15.75" x14ac:dyDescent="0.5">
      <c r="A54" s="4" t="s">
        <v>438</v>
      </c>
      <c r="B54" s="4" t="s">
        <v>285</v>
      </c>
      <c r="C54" s="4" t="s">
        <v>234</v>
      </c>
      <c r="D54" s="139">
        <v>8.9910510727681565</v>
      </c>
      <c r="E54" s="23">
        <v>0</v>
      </c>
      <c r="F54" s="139">
        <v>2.2986149092240002</v>
      </c>
      <c r="G54" s="139">
        <v>3.9447706171854309</v>
      </c>
      <c r="H54" s="148">
        <v>60.503525270393027</v>
      </c>
      <c r="I54" s="23">
        <v>37.5</v>
      </c>
      <c r="J54" s="23"/>
      <c r="K54" s="23"/>
      <c r="L54" s="23"/>
      <c r="M54" s="23" t="s">
        <v>471</v>
      </c>
    </row>
    <row r="55" spans="1:14" ht="15.75" x14ac:dyDescent="0.5">
      <c r="A55" s="4" t="s">
        <v>440</v>
      </c>
      <c r="B55" s="4" t="s">
        <v>285</v>
      </c>
      <c r="C55" s="4" t="s">
        <v>236</v>
      </c>
      <c r="D55" s="23">
        <v>0</v>
      </c>
      <c r="E55" s="23">
        <v>0</v>
      </c>
      <c r="F55" s="23">
        <v>0</v>
      </c>
      <c r="G55" s="23">
        <v>0</v>
      </c>
      <c r="H55" s="23">
        <v>0</v>
      </c>
      <c r="I55" s="23">
        <v>37.5</v>
      </c>
      <c r="J55" s="23"/>
      <c r="K55" s="23"/>
      <c r="L55" s="23"/>
      <c r="M55" s="23" t="s">
        <v>471</v>
      </c>
    </row>
    <row r="56" spans="1:14" ht="15.75" x14ac:dyDescent="0.5">
      <c r="A56" s="4"/>
      <c r="B56" s="4"/>
      <c r="C56" s="4"/>
      <c r="D56" s="23"/>
      <c r="E56" s="23"/>
      <c r="F56" s="23"/>
      <c r="G56" s="23"/>
      <c r="H56" s="23"/>
      <c r="I56" s="23"/>
      <c r="J56" s="23"/>
      <c r="K56" s="4"/>
      <c r="L56" s="23"/>
      <c r="M56" s="23"/>
    </row>
    <row r="57" spans="1:14" ht="15.75" x14ac:dyDescent="0.5">
      <c r="A57" s="4"/>
      <c r="B57" s="4"/>
      <c r="C57" s="4"/>
      <c r="D57" s="23"/>
      <c r="E57" s="143"/>
      <c r="F57" s="143"/>
      <c r="G57" s="143"/>
      <c r="H57" s="143"/>
      <c r="I57" s="143"/>
      <c r="J57" s="143"/>
      <c r="K57" s="144"/>
      <c r="L57" s="143"/>
      <c r="M57" s="143"/>
    </row>
    <row r="58" spans="1:14" ht="15.75" x14ac:dyDescent="0.5">
      <c r="A58" s="4"/>
      <c r="B58" s="4"/>
      <c r="C58" s="4"/>
      <c r="D58" s="23"/>
      <c r="E58" s="143"/>
      <c r="F58" s="143"/>
      <c r="G58" s="143"/>
      <c r="H58" s="143"/>
      <c r="I58" s="143"/>
      <c r="J58" s="143"/>
      <c r="K58" s="144"/>
      <c r="L58" s="143"/>
      <c r="M58" s="143"/>
    </row>
    <row r="59" spans="1:14" ht="15.75" x14ac:dyDescent="0.5">
      <c r="A59" s="4"/>
      <c r="B59" s="4"/>
      <c r="C59" s="4"/>
      <c r="D59" s="23"/>
      <c r="E59" s="23"/>
      <c r="F59" s="23"/>
      <c r="G59" s="23"/>
      <c r="H59" s="23"/>
      <c r="I59" s="23"/>
      <c r="J59" s="23"/>
      <c r="K59" s="4"/>
      <c r="L59" s="23"/>
      <c r="M59" s="23"/>
    </row>
    <row r="60" spans="1:14" ht="15.75" x14ac:dyDescent="0.5">
      <c r="A60" s="4"/>
      <c r="B60" s="4"/>
      <c r="C60" s="4"/>
      <c r="D60" s="23"/>
      <c r="E60" s="23"/>
      <c r="F60" s="23"/>
      <c r="G60" s="23"/>
      <c r="H60" s="23"/>
      <c r="I60" s="23"/>
      <c r="J60" s="23"/>
      <c r="K60" s="4"/>
      <c r="L60" s="23"/>
      <c r="M60" s="23"/>
    </row>
    <row r="61" spans="1:14" ht="15.75" x14ac:dyDescent="0.5">
      <c r="A61" s="4"/>
      <c r="B61" s="4"/>
      <c r="C61" s="4"/>
      <c r="D61" s="23"/>
      <c r="E61" s="23"/>
      <c r="F61" s="23"/>
      <c r="G61" s="23"/>
      <c r="H61" s="23"/>
      <c r="I61" s="23"/>
      <c r="J61" s="23"/>
      <c r="K61" s="4"/>
      <c r="L61" s="23"/>
      <c r="M61" s="23"/>
    </row>
    <row r="62" spans="1:14" ht="15.75" x14ac:dyDescent="0.5">
      <c r="A62" s="4"/>
      <c r="B62" s="4"/>
      <c r="C62" s="4"/>
      <c r="D62" s="23"/>
      <c r="E62" s="23"/>
      <c r="F62" s="23"/>
      <c r="G62" s="23"/>
      <c r="H62" s="23"/>
      <c r="I62" s="23"/>
      <c r="J62" s="23"/>
      <c r="K62" s="4"/>
      <c r="L62" s="23"/>
      <c r="M62" s="23"/>
      <c r="N62" s="15"/>
    </row>
    <row r="63" spans="1:14" ht="15.75" x14ac:dyDescent="0.5">
      <c r="A63" s="4"/>
      <c r="B63" s="4"/>
      <c r="C63" s="4"/>
      <c r="D63" s="23"/>
      <c r="E63" s="23"/>
      <c r="F63" s="23"/>
      <c r="G63" s="23"/>
      <c r="H63" s="23"/>
      <c r="I63" s="23"/>
      <c r="J63" s="23"/>
      <c r="K63" s="4"/>
      <c r="L63" s="23"/>
      <c r="M63" s="23"/>
    </row>
    <row r="64" spans="1:14" ht="15.75" x14ac:dyDescent="0.5">
      <c r="A64" s="4"/>
      <c r="B64" s="4"/>
      <c r="C64" s="4"/>
      <c r="D64" s="23"/>
      <c r="E64" s="23"/>
      <c r="F64" s="23"/>
      <c r="G64" s="23"/>
      <c r="H64" s="23"/>
      <c r="I64" s="23"/>
      <c r="J64" s="23"/>
      <c r="K64" s="4"/>
      <c r="L64" s="23"/>
      <c r="M64" s="23"/>
    </row>
    <row r="65" spans="1:13" ht="15.75" x14ac:dyDescent="0.5">
      <c r="A65" s="4"/>
      <c r="B65" s="4"/>
      <c r="C65" s="4"/>
      <c r="D65" s="23"/>
      <c r="E65" s="23"/>
      <c r="F65" s="23"/>
      <c r="G65" s="23"/>
      <c r="H65" s="23"/>
      <c r="I65" s="23"/>
      <c r="J65" s="23"/>
      <c r="K65" s="4"/>
      <c r="L65" s="23"/>
      <c r="M65" s="23"/>
    </row>
    <row r="66" spans="1:13" ht="15.75" x14ac:dyDescent="0.5">
      <c r="A66" s="4"/>
      <c r="B66" s="4"/>
      <c r="C66" s="4"/>
      <c r="D66" s="23"/>
      <c r="E66" s="23"/>
      <c r="F66" s="23"/>
      <c r="G66" s="23"/>
      <c r="H66" s="23"/>
      <c r="I66" s="23"/>
      <c r="J66" s="23"/>
      <c r="K66" s="4"/>
      <c r="L66" s="23"/>
      <c r="M66" s="23"/>
    </row>
    <row r="67" spans="1:13" ht="15.75" x14ac:dyDescent="0.5">
      <c r="A67" s="4"/>
      <c r="B67" s="4"/>
      <c r="C67" s="4"/>
      <c r="D67" s="23"/>
      <c r="E67" s="23"/>
      <c r="F67" s="23"/>
      <c r="G67" s="23"/>
      <c r="H67" s="23"/>
      <c r="I67" s="23"/>
      <c r="J67" s="23"/>
      <c r="K67" s="4"/>
      <c r="L67" s="23"/>
      <c r="M67" s="23"/>
    </row>
    <row r="68" spans="1:13" ht="15.75" x14ac:dyDescent="0.5">
      <c r="A68" s="4"/>
      <c r="B68" s="4"/>
      <c r="C68" s="4"/>
      <c r="D68" s="23"/>
      <c r="E68" s="23"/>
      <c r="F68" s="23"/>
      <c r="G68" s="23"/>
      <c r="H68" s="23"/>
      <c r="I68" s="23"/>
      <c r="J68" s="23"/>
      <c r="K68" s="4"/>
      <c r="L68" s="23"/>
      <c r="M68" s="23"/>
    </row>
    <row r="69" spans="1:13" ht="15.75" x14ac:dyDescent="0.5">
      <c r="A69" s="4"/>
      <c r="B69" s="4"/>
      <c r="C69" s="4"/>
      <c r="D69" s="23"/>
      <c r="E69" s="23"/>
      <c r="F69" s="23"/>
      <c r="G69" s="23"/>
      <c r="H69" s="23"/>
      <c r="I69" s="23"/>
      <c r="J69" s="23"/>
      <c r="K69" s="4"/>
      <c r="L69" s="23"/>
      <c r="M69" s="23"/>
    </row>
    <row r="70" spans="1:13" ht="15.75" x14ac:dyDescent="0.5">
      <c r="A70" s="4"/>
      <c r="B70" s="4"/>
      <c r="C70" s="4"/>
      <c r="D70" s="23"/>
      <c r="E70" s="23"/>
      <c r="F70" s="23"/>
      <c r="G70" s="23"/>
      <c r="H70" s="23"/>
      <c r="I70" s="23"/>
      <c r="J70" s="23"/>
      <c r="K70" s="4"/>
      <c r="L70" s="23"/>
      <c r="M70" s="23"/>
    </row>
    <row r="71" spans="1:13" ht="15.75" x14ac:dyDescent="0.5">
      <c r="A71" s="4" t="s">
        <v>482</v>
      </c>
      <c r="B71" s="140" t="s">
        <v>483</v>
      </c>
      <c r="C71" s="140" t="s">
        <v>484</v>
      </c>
      <c r="D71" s="141">
        <v>1.1441346982442472E-4</v>
      </c>
      <c r="E71" s="141">
        <v>1.4315680188159598E-4</v>
      </c>
      <c r="F71" s="141">
        <v>9.89527789950476E-6</v>
      </c>
      <c r="G71" s="141">
        <v>5.1081600752311695E-5</v>
      </c>
      <c r="H71" s="141">
        <v>2.3722975E-4</v>
      </c>
      <c r="I71" s="141"/>
      <c r="J71" s="141"/>
      <c r="K71" s="140"/>
      <c r="L71" s="141"/>
      <c r="M71" s="142" t="s">
        <v>471</v>
      </c>
    </row>
    <row r="72" spans="1:13" ht="15.75" x14ac:dyDescent="0.5">
      <c r="A72" s="4" t="s">
        <v>485</v>
      </c>
      <c r="B72" s="145" t="s">
        <v>483</v>
      </c>
      <c r="C72" s="145" t="s">
        <v>253</v>
      </c>
      <c r="D72" s="146">
        <v>1.7448828102861015E-4</v>
      </c>
      <c r="E72" s="146">
        <v>2.0796331687922899E-4</v>
      </c>
      <c r="F72" s="146">
        <v>1.3135377095011399E-5</v>
      </c>
      <c r="G72" s="146">
        <v>1.93582078031165E-4</v>
      </c>
      <c r="H72" s="146">
        <v>1.2078049079999999E-3</v>
      </c>
      <c r="I72" s="146"/>
      <c r="J72" s="146"/>
      <c r="K72" s="145"/>
      <c r="L72" s="146"/>
      <c r="M72" s="147" t="s">
        <v>471</v>
      </c>
    </row>
  </sheetData>
  <sheetProtection autoFilter="0" pivotTables="0"/>
  <phoneticPr fontId="9" type="noConversion"/>
  <pageMargins left="0.7" right="0.7" top="0.78740157499999996" bottom="0.78740157499999996" header="0.3" footer="0.3"/>
  <pageSetup paperSize="9" scale="30" orientation="landscape" r:id="rId1"/>
  <headerFooter>
    <oddHeader>&amp;LLeitRess&amp;CLeitRess Baukonstruktionen - Anhang&amp;R2023</oddHeader>
    <oddFooter>&amp;R10.12.2023</oddFooter>
  </headerFooter>
  <colBreaks count="1" manualBreakCount="1">
    <brk id="14" max="71" man="1"/>
  </colBreaks>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05220D-4CA4-4435-B57B-7184624106ED}">
  <sheetPr codeName="Tabelle7">
    <tabColor theme="2" tint="-0.249977111117893"/>
  </sheetPr>
  <dimension ref="A1:XBT92"/>
  <sheetViews>
    <sheetView view="pageLayout" zoomScale="55" zoomScaleNormal="40" zoomScaleSheetLayoutView="40" zoomScalePageLayoutView="55" workbookViewId="0">
      <selection activeCell="A17" sqref="A17"/>
    </sheetView>
  </sheetViews>
  <sheetFormatPr baseColWidth="10" defaultColWidth="9.1328125" defaultRowHeight="14.25" outlineLevelRow="1" outlineLevelCol="1" x14ac:dyDescent="0.45"/>
  <cols>
    <col min="1" max="1" width="25.53125" customWidth="1"/>
    <col min="2" max="2" width="37.46484375" customWidth="1"/>
    <col min="3" max="3" width="10.46484375" customWidth="1"/>
    <col min="4" max="4" width="20" customWidth="1"/>
    <col min="5" max="5" width="47.86328125" hidden="1" customWidth="1" outlineLevel="1"/>
    <col min="6" max="6" width="24.86328125" customWidth="1" collapsed="1"/>
    <col min="7" max="7" width="42.46484375" customWidth="1"/>
    <col min="8" max="8" width="18.86328125" customWidth="1"/>
    <col min="9" max="9" width="16.1328125" customWidth="1"/>
    <col min="10" max="10" width="17.46484375" hidden="1" customWidth="1" outlineLevel="1"/>
    <col min="11" max="11" width="12.1328125" hidden="1" customWidth="1" outlineLevel="1"/>
    <col min="12" max="12" width="19.1328125" customWidth="1" collapsed="1"/>
    <col min="13" max="13" width="12.53125" customWidth="1"/>
    <col min="14" max="14" width="17.53125" customWidth="1"/>
    <col min="15" max="15" width="17" hidden="1" customWidth="1" outlineLevel="1"/>
    <col min="16" max="16" width="13.86328125" hidden="1" customWidth="1" outlineLevel="1"/>
    <col min="17" max="17" width="15" customWidth="1" collapsed="1"/>
    <col min="18" max="18" width="15.46484375" customWidth="1"/>
    <col min="19" max="19" width="19" customWidth="1"/>
    <col min="20" max="20" width="19.46484375" hidden="1" customWidth="1" outlineLevel="1"/>
    <col min="21" max="21" width="24.46484375" hidden="1" customWidth="1" outlineLevel="1"/>
    <col min="22" max="22" width="23.1328125" customWidth="1" collapsed="1"/>
    <col min="23" max="24" width="22.46484375" customWidth="1"/>
    <col min="25" max="25" width="22.1328125" customWidth="1"/>
    <col min="26" max="26" width="15.6640625" customWidth="1"/>
    <col min="27" max="27" width="22.46484375" hidden="1" customWidth="1" outlineLevel="1"/>
    <col min="28" max="28" width="26" hidden="1" customWidth="1" outlineLevel="1"/>
    <col min="29" max="31" width="22.46484375" hidden="1" customWidth="1" outlineLevel="1"/>
    <col min="32" max="32" width="25" hidden="1" customWidth="1" outlineLevel="1"/>
    <col min="33" max="33" width="23.53125" hidden="1" customWidth="1" outlineLevel="1"/>
    <col min="34" max="34" width="25.53125" hidden="1" customWidth="1" outlineLevel="1"/>
    <col min="35" max="35" width="27.46484375" hidden="1" customWidth="1" outlineLevel="1"/>
    <col min="36" max="36" width="23.53125" hidden="1" customWidth="1" outlineLevel="1"/>
    <col min="37" max="37" width="20.53125" hidden="1" customWidth="1" outlineLevel="1"/>
    <col min="38" max="39" width="23" hidden="1" customWidth="1" outlineLevel="1"/>
    <col min="40" max="40" width="25.53125" hidden="1" customWidth="1" outlineLevel="1"/>
    <col min="41" max="41" width="20.53125" hidden="1" customWidth="1" outlineLevel="1"/>
    <col min="42" max="42" width="24.46484375" hidden="1" customWidth="1" outlineLevel="1"/>
    <col min="43" max="44" width="20.53125" hidden="1" customWidth="1" outlineLevel="1"/>
    <col min="45" max="45" width="16.46484375" hidden="1" customWidth="1" outlineLevel="1"/>
    <col min="46" max="46" width="20.53125" hidden="1" customWidth="1" outlineLevel="1"/>
    <col min="47" max="47" width="12.46484375" hidden="1" customWidth="1" outlineLevel="1"/>
    <col min="48" max="50" width="11.53125" hidden="1" customWidth="1" outlineLevel="1"/>
    <col min="51" max="51" width="8.86328125" hidden="1" customWidth="1" outlineLevel="1"/>
    <col min="52" max="52" width="14.86328125" hidden="1" customWidth="1" outlineLevel="1"/>
    <col min="53" max="56" width="12.46484375" hidden="1" customWidth="1" outlineLevel="1"/>
    <col min="57" max="57" width="14.46484375" hidden="1" customWidth="1" outlineLevel="1"/>
    <col min="58" max="58" width="11.46484375" hidden="1" customWidth="1" outlineLevel="1"/>
    <col min="59" max="59" width="11.86328125" hidden="1" customWidth="1" outlineLevel="1"/>
    <col min="60" max="60" width="12.46484375" hidden="1" customWidth="1" outlineLevel="1"/>
    <col min="61" max="61" width="11.53125" hidden="1" customWidth="1" outlineLevel="1"/>
    <col min="62" max="62" width="9.1328125" collapsed="1"/>
  </cols>
  <sheetData>
    <row r="1" spans="1:30" ht="18" x14ac:dyDescent="0.55000000000000004">
      <c r="A1" s="1" t="s">
        <v>486</v>
      </c>
      <c r="B1" s="1"/>
      <c r="C1" s="2"/>
      <c r="D1" s="1"/>
      <c r="E1" s="1"/>
      <c r="F1" s="1"/>
      <c r="G1" s="51"/>
      <c r="H1" s="52">
        <v>45089</v>
      </c>
      <c r="I1" s="1"/>
      <c r="J1" s="1"/>
      <c r="K1" s="1"/>
      <c r="L1" s="1"/>
      <c r="M1" s="1"/>
      <c r="N1" s="1"/>
      <c r="O1" s="1"/>
      <c r="P1" s="1"/>
      <c r="Q1" s="1"/>
      <c r="R1" s="1"/>
      <c r="S1" s="1"/>
      <c r="T1" s="1"/>
      <c r="U1" s="3"/>
      <c r="V1" s="4"/>
      <c r="W1" s="1"/>
      <c r="X1" s="1"/>
      <c r="Y1" s="3"/>
      <c r="Z1" s="3"/>
      <c r="AA1" s="4"/>
      <c r="AB1" s="4"/>
      <c r="AC1" s="4"/>
      <c r="AD1" s="4"/>
    </row>
    <row r="2" spans="1:30" ht="18" x14ac:dyDescent="0.55000000000000004">
      <c r="A2" s="5"/>
      <c r="C2" s="6"/>
      <c r="G2" s="53"/>
      <c r="H2" s="54"/>
      <c r="T2" s="5"/>
      <c r="U2" s="5"/>
      <c r="V2" s="7"/>
      <c r="W2" s="7"/>
      <c r="X2" s="7"/>
      <c r="Y2" s="7"/>
      <c r="Z2" s="7"/>
      <c r="AA2" s="7"/>
      <c r="AB2" s="7"/>
      <c r="AC2" s="7"/>
    </row>
    <row r="3" spans="1:30" ht="18" x14ac:dyDescent="0.55000000000000004">
      <c r="A3" s="8" t="s">
        <v>20</v>
      </c>
      <c r="B3" s="8"/>
      <c r="C3" s="9"/>
      <c r="D3" s="8" t="s">
        <v>487</v>
      </c>
      <c r="E3" s="10"/>
      <c r="F3" s="10"/>
      <c r="G3" s="55"/>
      <c r="H3" s="57"/>
      <c r="I3" s="11"/>
      <c r="V3" s="12"/>
      <c r="W3" s="12"/>
      <c r="X3" s="13"/>
      <c r="Y3" s="13"/>
      <c r="Z3" s="13"/>
      <c r="AA3" s="13"/>
    </row>
    <row r="4" spans="1:30" ht="18" x14ac:dyDescent="0.55000000000000004">
      <c r="A4" s="10" t="s">
        <v>21</v>
      </c>
      <c r="B4" s="10"/>
      <c r="C4" s="14"/>
      <c r="D4" s="15"/>
      <c r="E4" s="10"/>
      <c r="F4" s="10"/>
      <c r="G4" s="55"/>
      <c r="H4" s="57"/>
      <c r="I4" s="16"/>
      <c r="J4" s="10"/>
      <c r="K4" s="10"/>
      <c r="L4" s="10"/>
      <c r="M4" s="10"/>
      <c r="N4" s="10"/>
      <c r="O4" s="10"/>
      <c r="P4" s="10"/>
      <c r="Q4" s="10"/>
      <c r="R4" s="10"/>
      <c r="S4" s="10"/>
      <c r="T4" s="17"/>
      <c r="U4" s="17"/>
      <c r="W4" s="18"/>
      <c r="X4" s="17"/>
      <c r="Y4" s="17"/>
      <c r="Z4" s="17"/>
      <c r="AA4" s="17"/>
    </row>
    <row r="5" spans="1:30" ht="15.75" x14ac:dyDescent="0.45">
      <c r="A5" s="10"/>
      <c r="B5" s="10"/>
      <c r="C5" s="14"/>
      <c r="D5" s="15"/>
      <c r="E5" s="10"/>
      <c r="F5" s="10"/>
      <c r="G5" s="16"/>
      <c r="H5" s="16"/>
      <c r="I5" s="16"/>
      <c r="J5" s="10"/>
      <c r="K5" s="10"/>
      <c r="L5" s="10"/>
      <c r="M5" s="10"/>
      <c r="N5" s="10"/>
      <c r="O5" s="10"/>
      <c r="P5" s="10"/>
      <c r="Q5" s="10"/>
      <c r="R5" s="10"/>
      <c r="S5" s="10"/>
      <c r="T5" s="17"/>
      <c r="U5" s="17"/>
      <c r="V5" s="29"/>
      <c r="W5" s="18"/>
      <c r="X5" s="17"/>
      <c r="Y5" s="17"/>
      <c r="Z5" s="17"/>
      <c r="AA5" s="17"/>
    </row>
    <row r="6" spans="1:30" ht="15.75" x14ac:dyDescent="0.45">
      <c r="A6" s="19"/>
      <c r="B6" s="19"/>
      <c r="C6" s="14"/>
      <c r="D6" s="15"/>
      <c r="E6" s="10"/>
      <c r="F6" s="10"/>
      <c r="G6" s="16"/>
      <c r="H6" s="16"/>
      <c r="I6" s="16"/>
      <c r="J6" s="10"/>
      <c r="K6" s="10"/>
      <c r="L6" s="10"/>
      <c r="M6" s="10"/>
      <c r="N6" s="10"/>
      <c r="O6" s="10"/>
      <c r="P6" s="10"/>
      <c r="Q6" s="10"/>
      <c r="R6" s="10"/>
      <c r="S6" s="10"/>
      <c r="T6" s="17"/>
      <c r="U6" s="17"/>
      <c r="V6" s="29"/>
      <c r="W6" s="18"/>
      <c r="X6" s="17"/>
      <c r="Y6" s="17"/>
      <c r="Z6" s="17"/>
      <c r="AA6" s="17"/>
    </row>
    <row r="7" spans="1:30" ht="15.75" x14ac:dyDescent="0.5">
      <c r="A7" s="4" t="s">
        <v>488</v>
      </c>
      <c r="B7" s="32"/>
      <c r="C7" s="14"/>
      <c r="D7" s="15"/>
      <c r="E7" s="10"/>
      <c r="F7" s="10"/>
      <c r="G7" s="16"/>
      <c r="H7" s="16"/>
      <c r="I7" s="16"/>
      <c r="J7" s="10"/>
      <c r="K7" s="10"/>
      <c r="L7" s="10"/>
      <c r="M7" s="10"/>
      <c r="N7" s="10"/>
      <c r="O7" s="10"/>
      <c r="P7" s="10"/>
      <c r="Q7" s="10"/>
      <c r="R7" s="10"/>
      <c r="S7" s="10"/>
      <c r="T7" s="17"/>
      <c r="U7" s="17"/>
      <c r="V7" s="18"/>
      <c r="W7" s="18"/>
      <c r="X7" s="17"/>
      <c r="Y7" s="17"/>
      <c r="Z7" s="17"/>
      <c r="AA7" s="17"/>
    </row>
    <row r="8" spans="1:30" ht="15.75" x14ac:dyDescent="0.5">
      <c r="A8" s="34"/>
      <c r="B8" s="32" t="s">
        <v>128</v>
      </c>
      <c r="C8" s="14"/>
      <c r="D8" s="15"/>
      <c r="E8" s="10"/>
      <c r="F8" s="10"/>
      <c r="G8" s="16"/>
      <c r="H8" s="16"/>
      <c r="I8" s="16"/>
      <c r="J8" s="10"/>
      <c r="K8" s="10"/>
      <c r="L8" s="10"/>
      <c r="M8" s="10"/>
      <c r="N8" s="10"/>
      <c r="O8" s="10"/>
      <c r="P8" s="10"/>
      <c r="Q8" s="10"/>
      <c r="R8" s="10"/>
      <c r="S8" s="10"/>
      <c r="T8" s="17"/>
      <c r="U8" s="17"/>
      <c r="V8" s="18"/>
      <c r="W8" s="18"/>
      <c r="X8" s="17"/>
      <c r="Y8" s="17"/>
      <c r="Z8" s="17"/>
      <c r="AA8" s="17"/>
    </row>
    <row r="9" spans="1:30" ht="15.75" x14ac:dyDescent="0.5">
      <c r="A9" s="33"/>
      <c r="B9" s="32" t="s">
        <v>129</v>
      </c>
      <c r="C9" s="14"/>
      <c r="D9" s="15"/>
      <c r="E9" s="10"/>
      <c r="F9" s="10"/>
      <c r="G9" s="16"/>
      <c r="H9" s="16"/>
      <c r="I9" s="16"/>
      <c r="J9" s="10"/>
      <c r="K9" s="10"/>
      <c r="L9" s="10"/>
      <c r="M9" s="10"/>
      <c r="N9" s="10"/>
      <c r="O9" s="10"/>
      <c r="P9" s="10"/>
      <c r="Q9" s="10"/>
      <c r="R9" s="10"/>
      <c r="S9" s="10"/>
      <c r="T9" s="17"/>
      <c r="U9" s="17"/>
      <c r="V9" s="18"/>
      <c r="W9" s="18"/>
      <c r="X9" s="17"/>
      <c r="Y9" s="17"/>
      <c r="Z9" s="17"/>
      <c r="AA9" s="17"/>
    </row>
    <row r="10" spans="1:30" ht="15.75" x14ac:dyDescent="0.5">
      <c r="A10" s="35"/>
      <c r="B10" s="32" t="s">
        <v>130</v>
      </c>
      <c r="C10" s="14"/>
      <c r="D10" s="15"/>
      <c r="E10" s="10"/>
      <c r="F10" s="10"/>
      <c r="G10" s="16"/>
      <c r="H10" s="16"/>
      <c r="I10" s="16"/>
      <c r="J10" s="10"/>
      <c r="K10" s="10"/>
      <c r="L10" s="10"/>
      <c r="M10" s="10"/>
      <c r="N10" s="10"/>
      <c r="O10" s="10"/>
      <c r="P10" s="10"/>
      <c r="Q10" s="10"/>
      <c r="R10" s="10"/>
      <c r="S10" s="10"/>
      <c r="T10" s="17"/>
      <c r="U10" s="17"/>
      <c r="V10" s="18"/>
      <c r="W10" s="18"/>
      <c r="X10" s="17"/>
      <c r="Y10" s="17"/>
      <c r="Z10" s="17"/>
      <c r="AA10" s="17"/>
    </row>
    <row r="11" spans="1:30" ht="15.75" x14ac:dyDescent="0.5">
      <c r="A11" s="36"/>
      <c r="B11" s="32" t="s">
        <v>489</v>
      </c>
      <c r="C11" s="14"/>
      <c r="D11" s="15"/>
      <c r="E11" s="10"/>
      <c r="F11" s="10"/>
      <c r="G11" s="16"/>
      <c r="H11" s="16"/>
      <c r="I11" s="16"/>
      <c r="J11" s="10"/>
      <c r="K11" s="10"/>
      <c r="L11" s="10"/>
      <c r="M11" s="10"/>
      <c r="N11" s="10"/>
      <c r="O11" s="10"/>
      <c r="P11" s="10"/>
      <c r="Q11" s="10"/>
      <c r="R11" s="10"/>
      <c r="S11" s="10"/>
      <c r="T11" s="17"/>
      <c r="U11" s="17"/>
      <c r="V11" s="18"/>
      <c r="W11" s="18"/>
      <c r="X11" s="17"/>
      <c r="Y11" s="17"/>
      <c r="Z11" s="17"/>
      <c r="AA11" s="17"/>
    </row>
    <row r="12" spans="1:30" x14ac:dyDescent="0.45">
      <c r="A12" s="10"/>
      <c r="B12" s="10"/>
      <c r="C12" s="14"/>
      <c r="D12" s="15"/>
      <c r="E12" s="10"/>
      <c r="F12" s="10"/>
      <c r="G12" s="16"/>
      <c r="H12" s="16"/>
      <c r="I12" s="16"/>
      <c r="J12" s="10"/>
      <c r="K12" s="10"/>
      <c r="L12" s="10"/>
      <c r="M12" s="10"/>
      <c r="N12" s="10"/>
      <c r="O12" s="10"/>
      <c r="P12" s="10"/>
      <c r="Q12" s="10"/>
      <c r="R12" s="10"/>
      <c r="S12" s="10"/>
      <c r="T12" s="17"/>
      <c r="U12" s="17"/>
      <c r="V12" s="18"/>
      <c r="W12" s="18"/>
      <c r="X12" s="17"/>
      <c r="Y12" s="17"/>
      <c r="Z12" s="17"/>
      <c r="AA12" s="17"/>
    </row>
    <row r="13" spans="1:30" hidden="1" outlineLevel="1" x14ac:dyDescent="0.45">
      <c r="A13" s="10" t="s">
        <v>490</v>
      </c>
      <c r="B13" s="10"/>
      <c r="C13" s="14"/>
      <c r="D13" s="15"/>
      <c r="E13" s="10"/>
      <c r="F13" s="10"/>
      <c r="G13" s="16"/>
      <c r="H13" s="16"/>
      <c r="I13" s="16"/>
      <c r="J13" s="10"/>
      <c r="K13" s="10"/>
      <c r="L13" s="10"/>
      <c r="M13" s="10"/>
      <c r="N13" s="10"/>
      <c r="O13" s="10"/>
      <c r="P13" s="10"/>
      <c r="Q13" s="10"/>
      <c r="R13" s="10"/>
      <c r="S13" s="10"/>
      <c r="T13" s="17"/>
      <c r="U13" s="17"/>
      <c r="V13" s="18"/>
      <c r="W13" s="18"/>
      <c r="X13" s="17"/>
      <c r="Y13" s="17"/>
      <c r="Z13" s="17"/>
      <c r="AA13" s="17"/>
    </row>
    <row r="14" spans="1:30" ht="63" hidden="1" outlineLevel="1" x14ac:dyDescent="0.5">
      <c r="A14" s="10"/>
      <c r="B14" s="10"/>
      <c r="C14" s="20" t="s">
        <v>491</v>
      </c>
      <c r="D14" s="4" t="s">
        <v>136</v>
      </c>
      <c r="E14" s="4" t="s">
        <v>492</v>
      </c>
      <c r="F14" s="21" t="s">
        <v>138</v>
      </c>
      <c r="G14" s="4" t="s">
        <v>493</v>
      </c>
      <c r="H14" s="22" t="s">
        <v>140</v>
      </c>
      <c r="I14" s="4" t="s">
        <v>141</v>
      </c>
      <c r="J14" s="22" t="s">
        <v>143</v>
      </c>
      <c r="K14" s="4" t="s">
        <v>144</v>
      </c>
      <c r="L14" s="4" t="s">
        <v>144</v>
      </c>
      <c r="M14" s="4" t="s">
        <v>145</v>
      </c>
      <c r="N14" s="4" t="s">
        <v>142</v>
      </c>
      <c r="O14" s="4" t="s">
        <v>144</v>
      </c>
      <c r="P14" s="4" t="s">
        <v>144</v>
      </c>
      <c r="Q14" s="4"/>
      <c r="R14" s="4"/>
      <c r="S14" s="4" t="s">
        <v>146</v>
      </c>
      <c r="T14" s="13"/>
      <c r="U14" s="13" t="s">
        <v>494</v>
      </c>
      <c r="V14" s="13" t="s">
        <v>495</v>
      </c>
      <c r="W14" s="13" t="s">
        <v>495</v>
      </c>
      <c r="X14" s="13" t="s">
        <v>495</v>
      </c>
      <c r="Y14" s="13"/>
      <c r="Z14" s="13"/>
      <c r="AA14" s="17"/>
    </row>
    <row r="15" spans="1:30" ht="53.1" hidden="1" customHeight="1" outlineLevel="1" x14ac:dyDescent="0.5">
      <c r="C15" s="20"/>
      <c r="D15" s="4"/>
      <c r="E15" s="4" t="s">
        <v>496</v>
      </c>
      <c r="F15" s="21"/>
      <c r="G15" s="4"/>
      <c r="H15" s="22" t="s">
        <v>151</v>
      </c>
      <c r="I15" s="4" t="s">
        <v>152</v>
      </c>
      <c r="J15" s="22" t="s">
        <v>153</v>
      </c>
      <c r="K15" s="4" t="s">
        <v>154</v>
      </c>
      <c r="L15" s="4"/>
      <c r="M15" s="4"/>
      <c r="N15" s="4"/>
      <c r="O15" s="4" t="s">
        <v>154</v>
      </c>
      <c r="P15" s="4" t="s">
        <v>154</v>
      </c>
      <c r="Q15" s="4"/>
      <c r="R15" s="4"/>
      <c r="S15" s="4"/>
      <c r="T15" s="13"/>
      <c r="U15" s="13"/>
      <c r="V15" s="13"/>
      <c r="W15" s="13"/>
      <c r="X15" s="13"/>
      <c r="Y15" s="13"/>
      <c r="Z15" s="13"/>
    </row>
    <row r="16" spans="1:30" ht="53.1" customHeight="1" collapsed="1" x14ac:dyDescent="0.5">
      <c r="C16" s="20"/>
      <c r="D16" s="4"/>
      <c r="E16" s="4"/>
      <c r="F16" s="21"/>
      <c r="G16" s="4"/>
      <c r="H16" s="22"/>
      <c r="I16" s="4"/>
      <c r="J16" s="22"/>
      <c r="K16" s="4"/>
      <c r="L16" s="4"/>
      <c r="M16" s="4"/>
      <c r="N16" s="4"/>
      <c r="O16" s="4"/>
      <c r="P16" s="4"/>
      <c r="Q16" s="4"/>
      <c r="R16" s="4"/>
      <c r="S16" s="4"/>
      <c r="T16" s="13"/>
      <c r="U16" s="13"/>
      <c r="V16" s="13"/>
      <c r="W16" s="13"/>
      <c r="X16" s="13"/>
      <c r="Y16" s="13"/>
      <c r="Z16" s="13"/>
    </row>
    <row r="17" spans="1:47" ht="47.25" x14ac:dyDescent="0.5">
      <c r="A17" s="30" t="s">
        <v>170</v>
      </c>
      <c r="B17" s="30" t="s">
        <v>171</v>
      </c>
      <c r="C17" s="30" t="s">
        <v>172</v>
      </c>
      <c r="D17" s="30" t="s">
        <v>173</v>
      </c>
      <c r="E17" s="30" t="s">
        <v>174</v>
      </c>
      <c r="F17" s="30" t="s">
        <v>176</v>
      </c>
      <c r="G17" s="30" t="s">
        <v>49</v>
      </c>
      <c r="H17" s="38" t="s">
        <v>356</v>
      </c>
      <c r="I17" s="30" t="s">
        <v>179</v>
      </c>
      <c r="J17" s="30" t="s">
        <v>180</v>
      </c>
      <c r="K17" s="30" t="s">
        <v>181</v>
      </c>
      <c r="L17" s="30" t="s">
        <v>182</v>
      </c>
      <c r="M17" s="30" t="s">
        <v>357</v>
      </c>
      <c r="N17" s="30" t="s">
        <v>184</v>
      </c>
      <c r="O17" s="30" t="s">
        <v>185</v>
      </c>
      <c r="P17" s="30" t="s">
        <v>186</v>
      </c>
      <c r="Q17" s="30" t="s">
        <v>197</v>
      </c>
      <c r="R17" s="30" t="s">
        <v>198</v>
      </c>
      <c r="S17" s="30" t="s">
        <v>199</v>
      </c>
      <c r="T17" s="30" t="s">
        <v>187</v>
      </c>
      <c r="U17" s="30" t="s">
        <v>188</v>
      </c>
      <c r="V17" s="31" t="s">
        <v>189</v>
      </c>
      <c r="W17" s="30" t="s">
        <v>190</v>
      </c>
      <c r="X17" s="30" t="s">
        <v>191</v>
      </c>
      <c r="Y17" t="s">
        <v>192</v>
      </c>
      <c r="Z17" s="40" t="s">
        <v>200</v>
      </c>
      <c r="AA17" s="30" t="s">
        <v>201</v>
      </c>
      <c r="AB17" s="30" t="s">
        <v>202</v>
      </c>
      <c r="AC17" s="30" t="s">
        <v>203</v>
      </c>
      <c r="AD17" s="30" t="s">
        <v>204</v>
      </c>
      <c r="AE17" s="30" t="s">
        <v>205</v>
      </c>
      <c r="AF17" s="30" t="s">
        <v>206</v>
      </c>
      <c r="AG17" s="30" t="s">
        <v>207</v>
      </c>
      <c r="AH17" s="30" t="s">
        <v>208</v>
      </c>
      <c r="AI17" s="30" t="s">
        <v>209</v>
      </c>
      <c r="AJ17" s="30" t="s">
        <v>210</v>
      </c>
      <c r="AK17" s="30" t="s">
        <v>211</v>
      </c>
      <c r="AL17" s="30" t="s">
        <v>212</v>
      </c>
      <c r="AM17" s="30" t="s">
        <v>213</v>
      </c>
      <c r="AN17" s="30" t="s">
        <v>214</v>
      </c>
      <c r="AO17" s="30" t="s">
        <v>215</v>
      </c>
      <c r="AP17" s="30" t="s">
        <v>216</v>
      </c>
      <c r="AQ17" s="30" t="s">
        <v>217</v>
      </c>
      <c r="AR17" s="30" t="s">
        <v>218</v>
      </c>
      <c r="AS17" s="30" t="s">
        <v>219</v>
      </c>
      <c r="AT17" s="30" t="s">
        <v>220</v>
      </c>
      <c r="AU17" s="30" t="s">
        <v>221</v>
      </c>
    </row>
    <row r="18" spans="1:47" s="24" customFormat="1" ht="15.75" x14ac:dyDescent="0.5">
      <c r="A18" s="36" t="s">
        <v>53</v>
      </c>
      <c r="B18" s="36" t="s">
        <v>302</v>
      </c>
      <c r="C18" s="36">
        <v>2</v>
      </c>
      <c r="D18" s="36" t="s">
        <v>303</v>
      </c>
      <c r="E18" s="36" t="str">
        <f>Baukon[[#This Row],[Variante Nummer]]&amp;". "&amp;Baukon[[#This Row],[Name Baukonstruktion]]&amp;" | " &amp;Baukon[[#This Row],[Variante Name]]</f>
        <v>2. Stahlbeton (R-Beton) - Bodenplatte | Referenz XPS</v>
      </c>
      <c r="F18" s="36" t="s">
        <v>304</v>
      </c>
      <c r="G18" s="36" t="s">
        <v>224</v>
      </c>
      <c r="H18" s="36" t="s">
        <v>225</v>
      </c>
      <c r="I18" s="41">
        <v>50</v>
      </c>
      <c r="J18" s="36">
        <f>IF(Baukon[[#This Row],[Material ist Dämmstoff?]]="ja",Baukon[[#This Row],[Dicke '[mm'] Referenz]]+_xlfn.XLOOKUP(RIGHT(Baukon[[#Headers],[Dicke '[mm'] min]],3),Dämmstoffvarianten[Variante],Dämmstoffvarianten[Differenz Dämmstoffedicke zu Referenz '[mm']]),Baukon[[#This Row],[Dicke '[mm'] Referenz]])</f>
        <v>50</v>
      </c>
      <c r="K18" s="36">
        <f>IF(Baukon[[#This Row],[Material ist Dämmstoff?]]="ja",Baukon[[#This Row],[Dicke '[mm'] Referenz]]+_xlfn.XLOOKUP(RIGHT(Baukon[[#Headers],[Dicke '[mm'] max]],3),Dämmstoffvarianten[Variante],Dämmstoffvarianten[Differenz Dämmstoffedicke zu Referenz '[mm']]),Baukon[[#This Row],[Dicke '[mm'] Referenz]])</f>
        <v>50</v>
      </c>
      <c r="L18" s="43">
        <v>1</v>
      </c>
      <c r="M18" s="41"/>
      <c r="N18" s="103">
        <f>IFERROR(Baukon[[#This Row],[Dicke '[mm'] Referenz]]/1000*Baukon[[#This Row],[Flächenanteil '[%']]],"")</f>
        <v>0.05</v>
      </c>
      <c r="O18" s="103">
        <f>IFERROR(Baukon[[#This Row],[Dicke '[mm'] min]]/1000*Baukon[[#This Row],[Flächenanteil '[%']]],"")</f>
        <v>0.05</v>
      </c>
      <c r="P18" s="103">
        <f>IFERROR(Baukon[[#This Row],[Dicke '[mm'] max]]/1000*Baukon[[#This Row],[Flächenanteil '[%']]],"")</f>
        <v>0.05</v>
      </c>
      <c r="Q18"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118</v>
      </c>
      <c r="R18"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118</v>
      </c>
      <c r="S18"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118</v>
      </c>
      <c r="T18" s="42" t="s">
        <v>226</v>
      </c>
      <c r="U18" s="103" t="str">
        <f>_xlfn.XLOOKUP(Baukon[[#This Row],[Material]],LeitRess_Materialien[Name],LeitRess_Materialien[Material_UUID])</f>
        <v>9702d9ab-2af2-4fdc-9d99-225583a9ffb7</v>
      </c>
      <c r="V18" s="42">
        <f>_xlfn.XLOOKUP(Baukon[[#This Row],[LCA Datensatz]],LeitRess_Materialien[Material_UUID],LeitRess_Materialien[Rohdichte_'[kg/m3']])</f>
        <v>2360</v>
      </c>
      <c r="W18" s="42">
        <f>_xlfn.XLOOKUP(Baukon[[#This Row],[LCA Datensatz]],LeitRess_Materialien[Material_UUID],LeitRess_Materialien[Flächengewicht_'[kg/m2']])</f>
        <v>0</v>
      </c>
      <c r="X18" s="104">
        <f>_xlfn.XLOOKUP(Baukon[[#This Row],[LCA Datensatz]],LeitRess_Materialien[Material_UUID],LeitRess_Materialien[Längengewicht_'[kg/m']])</f>
        <v>0</v>
      </c>
      <c r="Y18" s="104">
        <f>_xlfn.XLOOKUP(Baukon[[#This Row],[LCA Datensatz]],LeitRess_Materialien[Material_UUID],LeitRess_Materialien[lambda_'[W/mK']])</f>
        <v>1.4</v>
      </c>
      <c r="Z18" s="103">
        <f>IFERROR(Baukon[[#This Row],[Dicke '[mm'] Referenz]]/Baukon[[#This Row],[lambda_'[W/mK']]],"")</f>
        <v>35.714285714285715</v>
      </c>
      <c r="AA18" s="37">
        <f>_xlfn.XLOOKUP(Baukon[[#This Row],[LCA Datensatz]],LeitRess_Materialien[Material_UUID],LeitRess_Materialien[RMI '[kg Primärrohstoffe / kg']])*Baukon[[#This Row],[Masse '[kg/m²'] Referenz]]</f>
        <v>117.7747076304871</v>
      </c>
      <c r="AB18" s="37">
        <f>_xlfn.XLOOKUP(Baukon[[#This Row],[LCA Datensatz]],LeitRess_Materialien[Material_UUID],LeitRess_Materialien[RMI '[kg Primärrohstoffe / kg']])*Baukon[[#This Row],[Masse '[kg/m²'] min]]</f>
        <v>117.7747076304871</v>
      </c>
      <c r="AC18" s="37">
        <f>_xlfn.XLOOKUP(Baukon[[#This Row],[LCA Datensatz]],LeitRess_Materialien[Material_UUID],LeitRess_Materialien[RMI '[kg Primärrohstoffe / kg']])*Baukon[[#This Row],[Masse '[kg/m²'] max]]</f>
        <v>117.7747076304871</v>
      </c>
      <c r="AD18" s="37">
        <f>_xlfn.XLOOKUP(Baukon[[#This Row],[LCA Datensatz]],LeitRess_Materialien[Material_UUID],LeitRess_Materialien[TMR '[kg Gesamtmaterialaufwand/kg']])*Baukon[[#This Row],[Masse '[kg/m²'] Referenz]]</f>
        <v>122.11724076140833</v>
      </c>
      <c r="AE18" s="37">
        <f>_xlfn.XLOOKUP(Baukon[[#This Row],[LCA Datensatz]],LeitRess_Materialien[Material_UUID],LeitRess_Materialien[TMR '[kg Gesamtmaterialaufwand/kg']])*Baukon[[#This Row],[Masse '[kg/m²'] min]]</f>
        <v>122.11724076140833</v>
      </c>
      <c r="AF18" s="37">
        <f>_xlfn.XLOOKUP(Baukon[[#This Row],[LCA Datensatz]],LeitRess_Materialien[Material_UUID],LeitRess_Materialien[TMR '[kg Gesamtmaterialaufwand/kg']])*Baukon[[#This Row],[Masse '[kg/m²'] max]]</f>
        <v>122.11724076140833</v>
      </c>
      <c r="AG18" s="37">
        <f>_xlfn.XLOOKUP(Baukon[[#This Row],[LCA Datensatz]],LeitRess_Materialien[Material_UUID],LeitRess_Materialien[GWP '[kg CO2-Äqu./kg']])*Baukon[[#This Row],[Masse '[kg/m²'] Referenz]]</f>
        <v>9.9692403987468108</v>
      </c>
      <c r="AH18" s="37">
        <f>_xlfn.XLOOKUP(Baukon[[#This Row],[LCA Datensatz]],LeitRess_Materialien[Material_UUID],LeitRess_Materialien[GWP '[kg CO2-Äqu./kg']])*Baukon[[#This Row],[Masse '[kg/m²'] min]]</f>
        <v>9.9692403987468108</v>
      </c>
      <c r="AI18" s="37">
        <f>_xlfn.XLOOKUP(Baukon[[#This Row],[LCA Datensatz]],LeitRess_Materialien[Material_UUID],LeitRess_Materialien[GWP '[kg CO2-Äqu./kg']])*Baukon[[#This Row],[Masse '[kg/m²'] max]]</f>
        <v>9.9692403987468108</v>
      </c>
      <c r="AJ18" s="37">
        <f>_xlfn.XLOOKUP(Baukon[[#This Row],[LCA Datensatz]],LeitRess_Materialien[Material_UUID],LeitRess_Materialien[PENRT '[MJ/kg']])*Baukon[[#This Row],[Masse '[kg/m²'] Referenz]]</f>
        <v>78.09993506093781</v>
      </c>
      <c r="AK18" s="37">
        <f>_xlfn.XLOOKUP(Baukon[[#This Row],[LCA Datensatz]],LeitRess_Materialien[Material_UUID],LeitRess_Materialien[PENRT '[MJ/kg']])*Baukon[[#This Row],[Masse '[kg/m²'] min]]</f>
        <v>78.09993506093781</v>
      </c>
      <c r="AL18" s="37">
        <f>_xlfn.XLOOKUP(Baukon[[#This Row],[LCA Datensatz]],LeitRess_Materialien[Material_UUID],LeitRess_Materialien[PENRT '[MJ/kg']])*Baukon[[#This Row],[Masse '[kg/m²'] max]]</f>
        <v>78.09993506093781</v>
      </c>
      <c r="AM18" s="37" t="e">
        <f>_xlfn.XLOOKUP(Baukon[[#This Row],[LCA Datensatz]],LeitRess_Materialien[Material_UUID],#REF!)*Baukon[[#This Row],[Masse '[kg/m²'] Referenz]]</f>
        <v>#REF!</v>
      </c>
      <c r="AN18" s="37" t="e">
        <f>_xlfn.XLOOKUP(Baukon[[#This Row],[LCA Datensatz]],LeitRess_Materialien[Material_UUID],#REF!)*Baukon[[#This Row],[Masse '[kg/m²'] min]]</f>
        <v>#REF!</v>
      </c>
      <c r="AO18" s="37" t="e">
        <f>_xlfn.XLOOKUP(Baukon[[#This Row],[LCA Datensatz]],LeitRess_Materialien[Material_UUID],#REF!)*Baukon[[#This Row],[Masse '[kg/m²'] max]]</f>
        <v>#REF!</v>
      </c>
      <c r="AP18" s="37">
        <f>_xlfn.XLOOKUP(Baukon[[#This Row],[LCA Datensatz]],LeitRess_Materialien[Material_UUID],LeitRess_Materialien[WDP '[m³ weighted water/kg']])*Baukon[[#This Row],[Masse '[kg/m²'] Referenz]]</f>
        <v>4.9409832398411284</v>
      </c>
      <c r="AQ18" s="37">
        <f>_xlfn.XLOOKUP(Baukon[[#This Row],[LCA Datensatz]],LeitRess_Materialien[Material_UUID],LeitRess_Materialien[WDP '[m³ weighted water/kg']])*Baukon[[#This Row],[Masse '[kg/m²'] min]]</f>
        <v>4.9409832398411284</v>
      </c>
      <c r="AR18" s="37">
        <f>_xlfn.XLOOKUP(Baukon[[#This Row],[LCA Datensatz]],LeitRess_Materialien[Material_UUID],LeitRess_Materialien[WDP '[m³ weighted water/kg']])*Baukon[[#This Row],[Masse '[kg/m²'] max]]</f>
        <v>4.9409832398411284</v>
      </c>
      <c r="AS18" s="39">
        <f>Baukon[[#This Row],[GWP '[kg CO2-Äqu./m²'] Referenz]]/'Ausgabe Tabellen'!$C$21+Baukon[[#This Row],[PENRT '[MJ/m²'] Referenz]]/'Ausgabe Tabellen'!$C$22+Baukon[[#This Row],[RMI '[kg Primärrohstoffe/m²'] Referenz]]/'Ausgabe Tabellen'!$C$23+Baukon[[#This Row],[WDP '[m² weighted water/m²'] Referenz]]/'Ausgabe Tabellen'!$C$24</f>
        <v>5.1277125486838444E-3</v>
      </c>
      <c r="AT18" s="39">
        <f>Baukon[[#This Row],[GWP '[kg CO2-Äqu./m²'] min]]/'Ausgabe Tabellen'!$C$21+Baukon[[#This Row],[PENRT '[MJ/m²'] min]]/'Ausgabe Tabellen'!$C$22+Baukon[[#This Row],[RMI '[kg Primärrohstoffe/m²'] min]]/'Ausgabe Tabellen'!$C$23+Baukon[[#This Row],[WDP '[m² weighted water/m²'] min]]/'Ausgabe Tabellen'!$C$24</f>
        <v>5.1277125486838444E-3</v>
      </c>
      <c r="AU18" s="39">
        <f>Baukon[[#This Row],[GWP '[kg CO2-Äqu./m²'] max]]/'Ausgabe Tabellen'!$C$21+Baukon[[#This Row],[PENRT '[MJ/m²'] max]]/'Ausgabe Tabellen'!$C$22+Baukon[[#This Row],[RMI '[kg Primärrohstoffe/m²'] max]]/'Ausgabe Tabellen'!$C$23+Baukon[[#This Row],[WDP '[m² weighted water/m²'] max]]/'Ausgabe Tabellen'!$C$24</f>
        <v>5.1277125486838444E-3</v>
      </c>
    </row>
    <row r="19" spans="1:47" s="24" customFormat="1" ht="15.75" x14ac:dyDescent="0.5">
      <c r="A19" s="36" t="s">
        <v>53</v>
      </c>
      <c r="B19" s="36" t="s">
        <v>302</v>
      </c>
      <c r="C19" s="36">
        <v>2</v>
      </c>
      <c r="D19" s="36" t="s">
        <v>303</v>
      </c>
      <c r="E19" s="36" t="str">
        <f>Baukon[[#This Row],[Variante Nummer]]&amp;". "&amp;Baukon[[#This Row],[Name Baukonstruktion]]&amp;" | " &amp;Baukon[[#This Row],[Variante Name]]</f>
        <v>2. Stahlbeton (R-Beton) - Bodenplatte | Referenz XPS</v>
      </c>
      <c r="F19" s="36" t="s">
        <v>317</v>
      </c>
      <c r="G19" s="36" t="s">
        <v>282</v>
      </c>
      <c r="H19" s="36" t="s">
        <v>225</v>
      </c>
      <c r="I19" s="41">
        <v>0.2</v>
      </c>
      <c r="J19" s="36">
        <f>IF(Baukon[[#This Row],[Material ist Dämmstoff?]]="ja",Baukon[[#This Row],[Dicke '[mm'] Referenz]]+_xlfn.XLOOKUP(RIGHT(Baukon[[#Headers],[Dicke '[mm'] min]],3),Dämmstoffvarianten[Variante],Dämmstoffvarianten[Differenz Dämmstoffedicke zu Referenz '[mm']]),Baukon[[#This Row],[Dicke '[mm'] Referenz]])</f>
        <v>0.2</v>
      </c>
      <c r="K19" s="36">
        <f>IF(Baukon[[#This Row],[Material ist Dämmstoff?]]="ja",Baukon[[#This Row],[Dicke '[mm'] Referenz]]+_xlfn.XLOOKUP(RIGHT(Baukon[[#Headers],[Dicke '[mm'] max]],3),Dämmstoffvarianten[Variante],Dämmstoffvarianten[Differenz Dämmstoffedicke zu Referenz '[mm']]),Baukon[[#This Row],[Dicke '[mm'] Referenz]])</f>
        <v>0.2</v>
      </c>
      <c r="L19" s="43">
        <v>1</v>
      </c>
      <c r="M19" s="41"/>
      <c r="N19" s="103">
        <f>IFERROR(Baukon[[#This Row],[Dicke '[mm'] Referenz]]/1000*Baukon[[#This Row],[Flächenanteil '[%']]],"")</f>
        <v>2.0000000000000001E-4</v>
      </c>
      <c r="O19" s="103">
        <f>IFERROR(Baukon[[#This Row],[Dicke '[mm'] min]]/1000*Baukon[[#This Row],[Flächenanteil '[%']]],"")</f>
        <v>2.0000000000000001E-4</v>
      </c>
      <c r="P19" s="103">
        <f>IFERROR(Baukon[[#This Row],[Dicke '[mm'] max]]/1000*Baukon[[#This Row],[Flächenanteil '[%']]],"")</f>
        <v>2.0000000000000001E-4</v>
      </c>
      <c r="Q19"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0.27800000000000002</v>
      </c>
      <c r="R19"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0.27800000000000002</v>
      </c>
      <c r="S19"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0.27800000000000002</v>
      </c>
      <c r="T19" s="42" t="s">
        <v>226</v>
      </c>
      <c r="U19" s="103" t="str">
        <f>_xlfn.XLOOKUP(Baukon[[#This Row],[Material]],LeitRess_Materialien[Name],LeitRess_Materialien[Material_UUID])</f>
        <v>99792cbc-c5f4-4d2d-bc9e-3790509891a0</v>
      </c>
      <c r="V19" s="42">
        <f>_xlfn.XLOOKUP(Baukon[[#This Row],[LCA Datensatz]],LeitRess_Materialien[Material_UUID],LeitRess_Materialien[Rohdichte_'[kg/m3']])</f>
        <v>1390</v>
      </c>
      <c r="W19" s="42">
        <f>_xlfn.XLOOKUP(Baukon[[#This Row],[LCA Datensatz]],LeitRess_Materialien[Material_UUID],LeitRess_Materialien[Flächengewicht_'[kg/m2']])</f>
        <v>0.2</v>
      </c>
      <c r="X19" s="104">
        <f>_xlfn.XLOOKUP(Baukon[[#This Row],[LCA Datensatz]],LeitRess_Materialien[Material_UUID],LeitRess_Materialien[Längengewicht_'[kg/m']])</f>
        <v>0</v>
      </c>
      <c r="Y19" s="104">
        <f>_xlfn.XLOOKUP(Baukon[[#This Row],[LCA Datensatz]],LeitRess_Materialien[Material_UUID],LeitRess_Materialien[lambda_'[W/mK']])</f>
        <v>0.17</v>
      </c>
      <c r="Z19" s="103">
        <f>IFERROR(Baukon[[#This Row],[Dicke '[mm'] Referenz]]/Baukon[[#This Row],[lambda_'[W/mK']]],"")</f>
        <v>1.1764705882352942</v>
      </c>
      <c r="AA19" s="37">
        <f>_xlfn.XLOOKUP(Baukon[[#This Row],[LCA Datensatz]],LeitRess_Materialien[Material_UUID],LeitRess_Materialien[RMI '[kg Primärrohstoffe / kg']])*Baukon[[#This Row],[Masse '[kg/m²'] Referenz]]</f>
        <v>0.56566490833487659</v>
      </c>
      <c r="AB19" s="37">
        <f>_xlfn.XLOOKUP(Baukon[[#This Row],[LCA Datensatz]],LeitRess_Materialien[Material_UUID],LeitRess_Materialien[RMI '[kg Primärrohstoffe / kg']])*Baukon[[#This Row],[Masse '[kg/m²'] min]]</f>
        <v>0.56566490833487659</v>
      </c>
      <c r="AC19" s="37">
        <f>_xlfn.XLOOKUP(Baukon[[#This Row],[LCA Datensatz]],LeitRess_Materialien[Material_UUID],LeitRess_Materialien[RMI '[kg Primärrohstoffe / kg']])*Baukon[[#This Row],[Masse '[kg/m²'] max]]</f>
        <v>0.56566490833487659</v>
      </c>
      <c r="AD19" s="37">
        <f>_xlfn.XLOOKUP(Baukon[[#This Row],[LCA Datensatz]],LeitRess_Materialien[Material_UUID],LeitRess_Materialien[TMR '[kg Gesamtmaterialaufwand/kg']])*Baukon[[#This Row],[Masse '[kg/m²'] Referenz]]</f>
        <v>0.70605426967153773</v>
      </c>
      <c r="AE19" s="37">
        <f>_xlfn.XLOOKUP(Baukon[[#This Row],[LCA Datensatz]],LeitRess_Materialien[Material_UUID],LeitRess_Materialien[TMR '[kg Gesamtmaterialaufwand/kg']])*Baukon[[#This Row],[Masse '[kg/m²'] min]]</f>
        <v>0.70605426967153773</v>
      </c>
      <c r="AF19" s="37">
        <f>_xlfn.XLOOKUP(Baukon[[#This Row],[LCA Datensatz]],LeitRess_Materialien[Material_UUID],LeitRess_Materialien[TMR '[kg Gesamtmaterialaufwand/kg']])*Baukon[[#This Row],[Masse '[kg/m²'] max]]</f>
        <v>0.70605426967153773</v>
      </c>
      <c r="AG19" s="37">
        <f>_xlfn.XLOOKUP(Baukon[[#This Row],[LCA Datensatz]],LeitRess_Materialien[Material_UUID],LeitRess_Materialien[GWP '[kg CO2-Äqu./kg']])*Baukon[[#This Row],[Masse '[kg/m²'] Referenz]]</f>
        <v>0.55327120946390662</v>
      </c>
      <c r="AH19" s="37">
        <f>_xlfn.XLOOKUP(Baukon[[#This Row],[LCA Datensatz]],LeitRess_Materialien[Material_UUID],LeitRess_Materialien[GWP '[kg CO2-Äqu./kg']])*Baukon[[#This Row],[Masse '[kg/m²'] min]]</f>
        <v>0.55327120946390662</v>
      </c>
      <c r="AI19" s="37">
        <f>_xlfn.XLOOKUP(Baukon[[#This Row],[LCA Datensatz]],LeitRess_Materialien[Material_UUID],LeitRess_Materialien[GWP '[kg CO2-Äqu./kg']])*Baukon[[#This Row],[Masse '[kg/m²'] max]]</f>
        <v>0.55327120946390662</v>
      </c>
      <c r="AJ19" s="37">
        <f>_xlfn.XLOOKUP(Baukon[[#This Row],[LCA Datensatz]],LeitRess_Materialien[Material_UUID],LeitRess_Materialien[PENRT '[MJ/kg']])*Baukon[[#This Row],[Masse '[kg/m²'] Referenz]]</f>
        <v>20.491472968565958</v>
      </c>
      <c r="AK19" s="37">
        <f>_xlfn.XLOOKUP(Baukon[[#This Row],[LCA Datensatz]],LeitRess_Materialien[Material_UUID],LeitRess_Materialien[PENRT '[MJ/kg']])*Baukon[[#This Row],[Masse '[kg/m²'] min]]</f>
        <v>20.491472968565958</v>
      </c>
      <c r="AL19" s="37">
        <f>_xlfn.XLOOKUP(Baukon[[#This Row],[LCA Datensatz]],LeitRess_Materialien[Material_UUID],LeitRess_Materialien[PENRT '[MJ/kg']])*Baukon[[#This Row],[Masse '[kg/m²'] max]]</f>
        <v>20.491472968565958</v>
      </c>
      <c r="AM19" s="37" t="e">
        <f>_xlfn.XLOOKUP(Baukon[[#This Row],[LCA Datensatz]],LeitRess_Materialien[Material_UUID],#REF!)*Baukon[[#This Row],[Masse '[kg/m²'] Referenz]]</f>
        <v>#REF!</v>
      </c>
      <c r="AN19" s="37" t="e">
        <f>_xlfn.XLOOKUP(Baukon[[#This Row],[LCA Datensatz]],LeitRess_Materialien[Material_UUID],#REF!)*Baukon[[#This Row],[Masse '[kg/m²'] min]]</f>
        <v>#REF!</v>
      </c>
      <c r="AO19" s="37" t="e">
        <f>_xlfn.XLOOKUP(Baukon[[#This Row],[LCA Datensatz]],LeitRess_Materialien[Material_UUID],#REF!)*Baukon[[#This Row],[Masse '[kg/m²'] max]]</f>
        <v>#REF!</v>
      </c>
      <c r="AP19" s="37">
        <f>_xlfn.XLOOKUP(Baukon[[#This Row],[LCA Datensatz]],LeitRess_Materialien[Material_UUID],LeitRess_Materialien[WDP '[m³ weighted water/kg']])*Baukon[[#This Row],[Masse '[kg/m²'] Referenz]]</f>
        <v>0.28989199614304856</v>
      </c>
      <c r="AQ19" s="37">
        <f>_xlfn.XLOOKUP(Baukon[[#This Row],[LCA Datensatz]],LeitRess_Materialien[Material_UUID],LeitRess_Materialien[WDP '[m³ weighted water/kg']])*Baukon[[#This Row],[Masse '[kg/m²'] min]]</f>
        <v>0.28989199614304856</v>
      </c>
      <c r="AR19" s="37">
        <f>_xlfn.XLOOKUP(Baukon[[#This Row],[LCA Datensatz]],LeitRess_Materialien[Material_UUID],LeitRess_Materialien[WDP '[m³ weighted water/kg']])*Baukon[[#This Row],[Masse '[kg/m²'] max]]</f>
        <v>0.28989199614304856</v>
      </c>
      <c r="AS19" s="39">
        <f>Baukon[[#This Row],[GWP '[kg CO2-Äqu./m²'] Referenz]]/'Ausgabe Tabellen'!$C$21+Baukon[[#This Row],[PENRT '[MJ/m²'] Referenz]]/'Ausgabe Tabellen'!$C$22+Baukon[[#This Row],[RMI '[kg Primärrohstoffe/m²'] Referenz]]/'Ausgabe Tabellen'!$C$23+Baukon[[#This Row],[WDP '[m² weighted water/m²'] Referenz]]/'Ausgabe Tabellen'!$C$24</f>
        <v>2.3771240070454252E-4</v>
      </c>
      <c r="AT19" s="39">
        <f>Baukon[[#This Row],[GWP '[kg CO2-Äqu./m²'] min]]/'Ausgabe Tabellen'!$C$21+Baukon[[#This Row],[PENRT '[MJ/m²'] min]]/'Ausgabe Tabellen'!$C$22+Baukon[[#This Row],[RMI '[kg Primärrohstoffe/m²'] min]]/'Ausgabe Tabellen'!$C$23+Baukon[[#This Row],[WDP '[m² weighted water/m²'] min]]/'Ausgabe Tabellen'!$C$24</f>
        <v>2.3771240070454252E-4</v>
      </c>
      <c r="AU19" s="39">
        <f>Baukon[[#This Row],[GWP '[kg CO2-Äqu./m²'] max]]/'Ausgabe Tabellen'!$C$21+Baukon[[#This Row],[PENRT '[MJ/m²'] max]]/'Ausgabe Tabellen'!$C$22+Baukon[[#This Row],[RMI '[kg Primärrohstoffe/m²'] max]]/'Ausgabe Tabellen'!$C$23+Baukon[[#This Row],[WDP '[m² weighted water/m²'] max]]/'Ausgabe Tabellen'!$C$24</f>
        <v>2.3771240070454252E-4</v>
      </c>
    </row>
    <row r="20" spans="1:47" s="24" customFormat="1" ht="15.75" x14ac:dyDescent="0.5">
      <c r="A20" s="36" t="s">
        <v>53</v>
      </c>
      <c r="B20" s="36" t="s">
        <v>302</v>
      </c>
      <c r="C20" s="36">
        <v>2</v>
      </c>
      <c r="D20" s="36" t="s">
        <v>303</v>
      </c>
      <c r="E20" s="36" t="str">
        <f>Baukon[[#This Row],[Variante Nummer]]&amp;". "&amp;Baukon[[#This Row],[Name Baukonstruktion]]&amp;" | " &amp;Baukon[[#This Row],[Variante Name]]</f>
        <v>2. Stahlbeton (R-Beton) - Bodenplatte | Referenz XPS</v>
      </c>
      <c r="F20" s="36" t="s">
        <v>320</v>
      </c>
      <c r="G20" s="36" t="s">
        <v>270</v>
      </c>
      <c r="H20" s="36" t="s">
        <v>228</v>
      </c>
      <c r="I20" s="41">
        <v>120</v>
      </c>
      <c r="J20" s="36">
        <f>IF(Baukon[[#This Row],[Material ist Dämmstoff?]]="ja",Baukon[[#This Row],[Dicke '[mm'] Referenz]]+_xlfn.XLOOKUP(RIGHT(Baukon[[#Headers],[Dicke '[mm'] min]],3),Dämmstoffvarianten[Variante],Dämmstoffvarianten[Differenz Dämmstoffedicke zu Referenz '[mm']]),Baukon[[#This Row],[Dicke '[mm'] Referenz]])</f>
        <v>80</v>
      </c>
      <c r="K20" s="36">
        <f>IF(Baukon[[#This Row],[Material ist Dämmstoff?]]="ja",Baukon[[#This Row],[Dicke '[mm'] Referenz]]+_xlfn.XLOOKUP(RIGHT(Baukon[[#Headers],[Dicke '[mm'] max]],3),Dämmstoffvarianten[Variante],Dämmstoffvarianten[Differenz Dämmstoffedicke zu Referenz '[mm']]),Baukon[[#This Row],[Dicke '[mm'] Referenz]])</f>
        <v>200</v>
      </c>
      <c r="L20" s="43">
        <v>1</v>
      </c>
      <c r="M20" s="41"/>
      <c r="N20" s="103">
        <f>IFERROR(Baukon[[#This Row],[Dicke '[mm'] Referenz]]/1000*Baukon[[#This Row],[Flächenanteil '[%']]],"")</f>
        <v>0.12</v>
      </c>
      <c r="O20" s="103">
        <f>IFERROR(Baukon[[#This Row],[Dicke '[mm'] min]]/1000*Baukon[[#This Row],[Flächenanteil '[%']]],"")</f>
        <v>0.08</v>
      </c>
      <c r="P20" s="103">
        <f>IFERROR(Baukon[[#This Row],[Dicke '[mm'] max]]/1000*Baukon[[#This Row],[Flächenanteil '[%']]],"")</f>
        <v>0.2</v>
      </c>
      <c r="Q20"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3.84</v>
      </c>
      <c r="R20"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2.56</v>
      </c>
      <c r="S20"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6.4</v>
      </c>
      <c r="T20" s="42" t="s">
        <v>226</v>
      </c>
      <c r="U20" s="103" t="str">
        <f>_xlfn.XLOOKUP(Baukon[[#This Row],[Material]],LeitRess_Materialien[Name],LeitRess_Materialien[Material_UUID])</f>
        <v>43e99b8c-90d8-4fcd-90ce-342fb0b7366e</v>
      </c>
      <c r="V20" s="42">
        <f>_xlfn.XLOOKUP(Baukon[[#This Row],[LCA Datensatz]],LeitRess_Materialien[Material_UUID],LeitRess_Materialien[Rohdichte_'[kg/m3']])</f>
        <v>32</v>
      </c>
      <c r="W20" s="42">
        <f>_xlfn.XLOOKUP(Baukon[[#This Row],[LCA Datensatz]],LeitRess_Materialien[Material_UUID],LeitRess_Materialien[Flächengewicht_'[kg/m2']])</f>
        <v>0</v>
      </c>
      <c r="X20" s="104">
        <f>_xlfn.XLOOKUP(Baukon[[#This Row],[LCA Datensatz]],LeitRess_Materialien[Material_UUID],LeitRess_Materialien[Längengewicht_'[kg/m']])</f>
        <v>0</v>
      </c>
      <c r="Y20" s="104">
        <f>_xlfn.XLOOKUP(Baukon[[#This Row],[LCA Datensatz]],LeitRess_Materialien[Material_UUID],LeitRess_Materialien[lambda_'[W/mK']])</f>
        <v>3.6999999999999998E-2</v>
      </c>
      <c r="Z20" s="103">
        <f>IFERROR(Baukon[[#This Row],[Dicke '[mm'] Referenz]]/Baukon[[#This Row],[lambda_'[W/mK']]],"")</f>
        <v>3243.2432432432433</v>
      </c>
      <c r="AA20" s="37">
        <f>_xlfn.XLOOKUP(Baukon[[#This Row],[LCA Datensatz]],LeitRess_Materialien[Material_UUID],LeitRess_Materialien[RMI '[kg Primärrohstoffe / kg']])*Baukon[[#This Row],[Masse '[kg/m²'] Referenz]]</f>
        <v>10.213343560521063</v>
      </c>
      <c r="AB20" s="37">
        <f>_xlfn.XLOOKUP(Baukon[[#This Row],[LCA Datensatz]],LeitRess_Materialien[Material_UUID],LeitRess_Materialien[RMI '[kg Primärrohstoffe / kg']])*Baukon[[#This Row],[Masse '[kg/m²'] min]]</f>
        <v>6.8088957070140417</v>
      </c>
      <c r="AC20" s="37">
        <f>_xlfn.XLOOKUP(Baukon[[#This Row],[LCA Datensatz]],LeitRess_Materialien[Material_UUID],LeitRess_Materialien[RMI '[kg Primärrohstoffe / kg']])*Baukon[[#This Row],[Masse '[kg/m²'] max]]</f>
        <v>17.022239267535106</v>
      </c>
      <c r="AD20" s="37">
        <f>_xlfn.XLOOKUP(Baukon[[#This Row],[LCA Datensatz]],LeitRess_Materialien[Material_UUID],LeitRess_Materialien[TMR '[kg Gesamtmaterialaufwand/kg']])*Baukon[[#This Row],[Masse '[kg/m²'] Referenz]]</f>
        <v>12.591251360869862</v>
      </c>
      <c r="AE20" s="37">
        <f>_xlfn.XLOOKUP(Baukon[[#This Row],[LCA Datensatz]],LeitRess_Materialien[Material_UUID],LeitRess_Materialien[TMR '[kg Gesamtmaterialaufwand/kg']])*Baukon[[#This Row],[Masse '[kg/m²'] min]]</f>
        <v>8.3941675739132418</v>
      </c>
      <c r="AF20" s="37">
        <f>_xlfn.XLOOKUP(Baukon[[#This Row],[LCA Datensatz]],LeitRess_Materialien[Material_UUID],LeitRess_Materialien[TMR '[kg Gesamtmaterialaufwand/kg']])*Baukon[[#This Row],[Masse '[kg/m²'] max]]</f>
        <v>20.985418934783105</v>
      </c>
      <c r="AG20" s="37">
        <f>_xlfn.XLOOKUP(Baukon[[#This Row],[LCA Datensatz]],LeitRess_Materialien[Material_UUID],LeitRess_Materialien[GWP '[kg CO2-Äqu./kg']])*Baukon[[#This Row],[Masse '[kg/m²'] Referenz]]</f>
        <v>15.63328121055479</v>
      </c>
      <c r="AH20" s="37">
        <f>_xlfn.XLOOKUP(Baukon[[#This Row],[LCA Datensatz]],LeitRess_Materialien[Material_UUID],LeitRess_Materialien[GWP '[kg CO2-Äqu./kg']])*Baukon[[#This Row],[Masse '[kg/m²'] min]]</f>
        <v>10.422187473703193</v>
      </c>
      <c r="AI20" s="37">
        <f>_xlfn.XLOOKUP(Baukon[[#This Row],[LCA Datensatz]],LeitRess_Materialien[Material_UUID],LeitRess_Materialien[GWP '[kg CO2-Äqu./kg']])*Baukon[[#This Row],[Masse '[kg/m²'] max]]</f>
        <v>26.055468684257985</v>
      </c>
      <c r="AJ20" s="37">
        <f>_xlfn.XLOOKUP(Baukon[[#This Row],[LCA Datensatz]],LeitRess_Materialien[Material_UUID],LeitRess_Materialien[PENRT '[MJ/kg']])*Baukon[[#This Row],[Masse '[kg/m²'] Referenz]]</f>
        <v>362.28741817283174</v>
      </c>
      <c r="AK20" s="37">
        <f>_xlfn.XLOOKUP(Baukon[[#This Row],[LCA Datensatz]],LeitRess_Materialien[Material_UUID],LeitRess_Materialien[PENRT '[MJ/kg']])*Baukon[[#This Row],[Masse '[kg/m²'] min]]</f>
        <v>241.52494544855449</v>
      </c>
      <c r="AL20" s="37">
        <f>_xlfn.XLOOKUP(Baukon[[#This Row],[LCA Datensatz]],LeitRess_Materialien[Material_UUID],LeitRess_Materialien[PENRT '[MJ/kg']])*Baukon[[#This Row],[Masse '[kg/m²'] max]]</f>
        <v>603.81236362138623</v>
      </c>
      <c r="AM20" s="37" t="e">
        <f>_xlfn.XLOOKUP(Baukon[[#This Row],[LCA Datensatz]],LeitRess_Materialien[Material_UUID],#REF!)*Baukon[[#This Row],[Masse '[kg/m²'] Referenz]]</f>
        <v>#REF!</v>
      </c>
      <c r="AN20" s="37" t="e">
        <f>_xlfn.XLOOKUP(Baukon[[#This Row],[LCA Datensatz]],LeitRess_Materialien[Material_UUID],#REF!)*Baukon[[#This Row],[Masse '[kg/m²'] min]]</f>
        <v>#REF!</v>
      </c>
      <c r="AO20" s="37" t="e">
        <f>_xlfn.XLOOKUP(Baukon[[#This Row],[LCA Datensatz]],LeitRess_Materialien[Material_UUID],#REF!)*Baukon[[#This Row],[Masse '[kg/m²'] max]]</f>
        <v>#REF!</v>
      </c>
      <c r="AP20" s="37">
        <f>_xlfn.XLOOKUP(Baukon[[#This Row],[LCA Datensatz]],LeitRess_Materialien[Material_UUID],LeitRess_Materialien[WDP '[m³ weighted water/kg']])*Baukon[[#This Row],[Masse '[kg/m²'] Referenz]]</f>
        <v>12.634295020674815</v>
      </c>
      <c r="AQ20" s="37">
        <f>_xlfn.XLOOKUP(Baukon[[#This Row],[LCA Datensatz]],LeitRess_Materialien[Material_UUID],LeitRess_Materialien[WDP '[m³ weighted water/kg']])*Baukon[[#This Row],[Masse '[kg/m²'] min]]</f>
        <v>8.4228633471165431</v>
      </c>
      <c r="AR20" s="37">
        <f>_xlfn.XLOOKUP(Baukon[[#This Row],[LCA Datensatz]],LeitRess_Materialien[Material_UUID],LeitRess_Materialien[WDP '[m³ weighted water/kg']])*Baukon[[#This Row],[Masse '[kg/m²'] max]]</f>
        <v>21.057158367791359</v>
      </c>
      <c r="AS20" s="39">
        <f>Baukon[[#This Row],[GWP '[kg CO2-Äqu./m²'] Referenz]]/'Ausgabe Tabellen'!$C$21+Baukon[[#This Row],[PENRT '[MJ/m²'] Referenz]]/'Ausgabe Tabellen'!$C$22+Baukon[[#This Row],[RMI '[kg Primärrohstoffe/m²'] Referenz]]/'Ausgabe Tabellen'!$C$23+Baukon[[#This Row],[WDP '[m² weighted water/m²'] Referenz]]/'Ausgabe Tabellen'!$C$24</f>
        <v>5.4050244067576168E-3</v>
      </c>
      <c r="AT20" s="39">
        <f>Baukon[[#This Row],[GWP '[kg CO2-Äqu./m²'] min]]/'Ausgabe Tabellen'!$C$21+Baukon[[#This Row],[PENRT '[MJ/m²'] min]]/'Ausgabe Tabellen'!$C$22+Baukon[[#This Row],[RMI '[kg Primärrohstoffe/m²'] min]]/'Ausgabe Tabellen'!$C$23+Baukon[[#This Row],[WDP '[m² weighted water/m²'] min]]/'Ausgabe Tabellen'!$C$24</f>
        <v>3.6033496045050784E-3</v>
      </c>
      <c r="AU20" s="39">
        <f>Baukon[[#This Row],[GWP '[kg CO2-Äqu./m²'] max]]/'Ausgabe Tabellen'!$C$21+Baukon[[#This Row],[PENRT '[MJ/m²'] max]]/'Ausgabe Tabellen'!$C$22+Baukon[[#This Row],[RMI '[kg Primärrohstoffe/m²'] max]]/'Ausgabe Tabellen'!$C$23+Baukon[[#This Row],[WDP '[m² weighted water/m²'] max]]/'Ausgabe Tabellen'!$C$24</f>
        <v>9.0083740112626952E-3</v>
      </c>
    </row>
    <row r="21" spans="1:47" s="24" customFormat="1" ht="15.75" x14ac:dyDescent="0.5">
      <c r="A21" s="36" t="s">
        <v>53</v>
      </c>
      <c r="B21" s="36" t="s">
        <v>302</v>
      </c>
      <c r="C21" s="36">
        <v>2</v>
      </c>
      <c r="D21" s="36" t="s">
        <v>303</v>
      </c>
      <c r="E21" s="36" t="str">
        <f>Baukon[[#This Row],[Variante Nummer]]&amp;". "&amp;Baukon[[#This Row],[Name Baukonstruktion]]&amp;" | " &amp;Baukon[[#This Row],[Variante Name]]</f>
        <v>2. Stahlbeton (R-Beton) - Bodenplatte | Referenz XPS</v>
      </c>
      <c r="F21" s="36" t="s">
        <v>351</v>
      </c>
      <c r="G21" s="36" t="s">
        <v>231</v>
      </c>
      <c r="H21" s="36" t="s">
        <v>225</v>
      </c>
      <c r="I21" s="41">
        <v>400</v>
      </c>
      <c r="J21" s="36">
        <f>IF(Baukon[[#This Row],[Material ist Dämmstoff?]]="ja",Baukon[[#This Row],[Dicke '[mm'] Referenz]]+_xlfn.XLOOKUP(RIGHT(Baukon[[#Headers],[Dicke '[mm'] min]],3),Dämmstoffvarianten[Variante],Dämmstoffvarianten[Differenz Dämmstoffedicke zu Referenz '[mm']]),Baukon[[#This Row],[Dicke '[mm'] Referenz]])</f>
        <v>400</v>
      </c>
      <c r="K21" s="36">
        <f>IF(Baukon[[#This Row],[Material ist Dämmstoff?]]="ja",Baukon[[#This Row],[Dicke '[mm'] Referenz]]+_xlfn.XLOOKUP(RIGHT(Baukon[[#Headers],[Dicke '[mm'] max]],3),Dämmstoffvarianten[Variante],Dämmstoffvarianten[Differenz Dämmstoffedicke zu Referenz '[mm']]),Baukon[[#This Row],[Dicke '[mm'] Referenz]])</f>
        <v>400</v>
      </c>
      <c r="L21" s="43">
        <f>1-MHH2</f>
        <v>1</v>
      </c>
      <c r="M21" s="41"/>
      <c r="N21" s="103">
        <f>IFERROR(Baukon[[#This Row],[Dicke '[mm'] Referenz]]/1000*Baukon[[#This Row],[Flächenanteil '[%']]],"")</f>
        <v>0.4</v>
      </c>
      <c r="O21" s="103">
        <f>IFERROR(Baukon[[#This Row],[Dicke '[mm'] min]]/1000*Baukon[[#This Row],[Flächenanteil '[%']]],"")</f>
        <v>0.4</v>
      </c>
      <c r="P21" s="103">
        <f>IFERROR(Baukon[[#This Row],[Dicke '[mm'] max]]/1000*Baukon[[#This Row],[Flächenanteil '[%']]],"")</f>
        <v>0.4</v>
      </c>
      <c r="Q21"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960</v>
      </c>
      <c r="R21"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960</v>
      </c>
      <c r="S21"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960</v>
      </c>
      <c r="T21" s="42" t="s">
        <v>226</v>
      </c>
      <c r="U21" s="103" t="str">
        <f>_xlfn.XLOOKUP(Baukon[[#This Row],[Material]],LeitRess_Materialien[Name],LeitRess_Materialien[Material_UUID])</f>
        <v>ded82f5b-0581-4d04-ad83-f9cebaa9a04b</v>
      </c>
      <c r="V21" s="42">
        <f>_xlfn.XLOOKUP(Baukon[[#This Row],[LCA Datensatz]],LeitRess_Materialien[Material_UUID],LeitRess_Materialien[Rohdichte_'[kg/m3']])</f>
        <v>2400</v>
      </c>
      <c r="W21" s="42">
        <f>_xlfn.XLOOKUP(Baukon[[#This Row],[LCA Datensatz]],LeitRess_Materialien[Material_UUID],LeitRess_Materialien[Flächengewicht_'[kg/m2']])</f>
        <v>0</v>
      </c>
      <c r="X21" s="104">
        <f>_xlfn.XLOOKUP(Baukon[[#This Row],[LCA Datensatz]],LeitRess_Materialien[Material_UUID],LeitRess_Materialien[Längengewicht_'[kg/m']])</f>
        <v>0</v>
      </c>
      <c r="Y21" s="104">
        <f>_xlfn.XLOOKUP(Baukon[[#This Row],[LCA Datensatz]],LeitRess_Materialien[Material_UUID],LeitRess_Materialien[lambda_'[W/mK']])</f>
        <v>1.4</v>
      </c>
      <c r="Z21" s="103">
        <f>IFERROR(Baukon[[#This Row],[Dicke '[mm'] Referenz]]/Baukon[[#This Row],[lambda_'[W/mK']]],"")</f>
        <v>285.71428571428572</v>
      </c>
      <c r="AA21" s="37">
        <f>_xlfn.XLOOKUP(Baukon[[#This Row],[LCA Datensatz]],LeitRess_Materialien[Material_UUID],LeitRess_Materialien[RMI '[kg Primärrohstoffe / kg']])*Baukon[[#This Row],[Masse '[kg/m²'] Referenz]]</f>
        <v>726.86732249911267</v>
      </c>
      <c r="AB21" s="37">
        <f>_xlfn.XLOOKUP(Baukon[[#This Row],[LCA Datensatz]],LeitRess_Materialien[Material_UUID],LeitRess_Materialien[RMI '[kg Primärrohstoffe / kg']])*Baukon[[#This Row],[Masse '[kg/m²'] min]]</f>
        <v>726.86732249911267</v>
      </c>
      <c r="AC21" s="37">
        <f>_xlfn.XLOOKUP(Baukon[[#This Row],[LCA Datensatz]],LeitRess_Materialien[Material_UUID],LeitRess_Materialien[RMI '[kg Primärrohstoffe / kg']])*Baukon[[#This Row],[Masse '[kg/m²'] max]]</f>
        <v>726.86732249911267</v>
      </c>
      <c r="AD21" s="37">
        <f>_xlfn.XLOOKUP(Baukon[[#This Row],[LCA Datensatz]],LeitRess_Materialien[Material_UUID],LeitRess_Materialien[TMR '[kg Gesamtmaterialaufwand/kg']])*Baukon[[#This Row],[Masse '[kg/m²'] Referenz]]</f>
        <v>788.55133012764065</v>
      </c>
      <c r="AE21" s="37">
        <f>_xlfn.XLOOKUP(Baukon[[#This Row],[LCA Datensatz]],LeitRess_Materialien[Material_UUID],LeitRess_Materialien[TMR '[kg Gesamtmaterialaufwand/kg']])*Baukon[[#This Row],[Masse '[kg/m²'] min]]</f>
        <v>788.55133012764065</v>
      </c>
      <c r="AF21" s="37">
        <f>_xlfn.XLOOKUP(Baukon[[#This Row],[LCA Datensatz]],LeitRess_Materialien[Material_UUID],LeitRess_Materialien[TMR '[kg Gesamtmaterialaufwand/kg']])*Baukon[[#This Row],[Masse '[kg/m²'] max]]</f>
        <v>788.55133012764065</v>
      </c>
      <c r="AG21" s="37">
        <f>_xlfn.XLOOKUP(Baukon[[#This Row],[LCA Datensatz]],LeitRess_Materialien[Material_UUID],LeitRess_Materialien[GWP '[kg CO2-Äqu./kg']])*Baukon[[#This Row],[Masse '[kg/m²'] Referenz]]</f>
        <v>81.105684599974055</v>
      </c>
      <c r="AH21" s="37">
        <f>_xlfn.XLOOKUP(Baukon[[#This Row],[LCA Datensatz]],LeitRess_Materialien[Material_UUID],LeitRess_Materialien[GWP '[kg CO2-Äqu./kg']])*Baukon[[#This Row],[Masse '[kg/m²'] min]]</f>
        <v>81.105684599974055</v>
      </c>
      <c r="AI21" s="37">
        <f>_xlfn.XLOOKUP(Baukon[[#This Row],[LCA Datensatz]],LeitRess_Materialien[Material_UUID],LeitRess_Materialien[GWP '[kg CO2-Äqu./kg']])*Baukon[[#This Row],[Masse '[kg/m²'] max]]</f>
        <v>81.105684599974055</v>
      </c>
      <c r="AJ21" s="37">
        <f>_xlfn.XLOOKUP(Baukon[[#This Row],[LCA Datensatz]],LeitRess_Materialien[Material_UUID],LeitRess_Materialien[PENRT '[MJ/kg']])*Baukon[[#This Row],[Masse '[kg/m²'] Referenz]]</f>
        <v>539.73189559411253</v>
      </c>
      <c r="AK21" s="37">
        <f>_xlfn.XLOOKUP(Baukon[[#This Row],[LCA Datensatz]],LeitRess_Materialien[Material_UUID],LeitRess_Materialien[PENRT '[MJ/kg']])*Baukon[[#This Row],[Masse '[kg/m²'] min]]</f>
        <v>539.73189559411253</v>
      </c>
      <c r="AL21" s="37">
        <f>_xlfn.XLOOKUP(Baukon[[#This Row],[LCA Datensatz]],LeitRess_Materialien[Material_UUID],LeitRess_Materialien[PENRT '[MJ/kg']])*Baukon[[#This Row],[Masse '[kg/m²'] max]]</f>
        <v>539.73189559411253</v>
      </c>
      <c r="AM21" s="37" t="e">
        <f>_xlfn.XLOOKUP(Baukon[[#This Row],[LCA Datensatz]],LeitRess_Materialien[Material_UUID],#REF!)*Baukon[[#This Row],[Masse '[kg/m²'] Referenz]]</f>
        <v>#REF!</v>
      </c>
      <c r="AN21" s="37" t="e">
        <f>_xlfn.XLOOKUP(Baukon[[#This Row],[LCA Datensatz]],LeitRess_Materialien[Material_UUID],#REF!)*Baukon[[#This Row],[Masse '[kg/m²'] min]]</f>
        <v>#REF!</v>
      </c>
      <c r="AO21" s="37" t="e">
        <f>_xlfn.XLOOKUP(Baukon[[#This Row],[LCA Datensatz]],LeitRess_Materialien[Material_UUID],#REF!)*Baukon[[#This Row],[Masse '[kg/m²'] max]]</f>
        <v>#REF!</v>
      </c>
      <c r="AP21" s="37">
        <f>_xlfn.XLOOKUP(Baukon[[#This Row],[LCA Datensatz]],LeitRess_Materialien[Material_UUID],LeitRess_Materialien[WDP '[m³ weighted water/kg']])*Baukon[[#This Row],[Masse '[kg/m²'] Referenz]]</f>
        <v>41.234731790892837</v>
      </c>
      <c r="AQ21" s="37">
        <f>_xlfn.XLOOKUP(Baukon[[#This Row],[LCA Datensatz]],LeitRess_Materialien[Material_UUID],LeitRess_Materialien[WDP '[m³ weighted water/kg']])*Baukon[[#This Row],[Masse '[kg/m²'] min]]</f>
        <v>41.234731790892837</v>
      </c>
      <c r="AR21" s="37">
        <f>_xlfn.XLOOKUP(Baukon[[#This Row],[LCA Datensatz]],LeitRess_Materialien[Material_UUID],LeitRess_Materialien[WDP '[m³ weighted water/kg']])*Baukon[[#This Row],[Masse '[kg/m²'] max]]</f>
        <v>41.234731790892837</v>
      </c>
      <c r="AS21" s="39">
        <f>Baukon[[#This Row],[GWP '[kg CO2-Äqu./m²'] Referenz]]/'Ausgabe Tabellen'!$C$21+Baukon[[#This Row],[PENRT '[MJ/m²'] Referenz]]/'Ausgabe Tabellen'!$C$22+Baukon[[#This Row],[RMI '[kg Primärrohstoffe/m²'] Referenz]]/'Ausgabe Tabellen'!$C$23+Baukon[[#This Row],[WDP '[m² weighted water/m²'] Referenz]]/'Ausgabe Tabellen'!$C$24</f>
        <v>3.478898463968548E-2</v>
      </c>
      <c r="AT21" s="39">
        <f>Baukon[[#This Row],[GWP '[kg CO2-Äqu./m²'] min]]/'Ausgabe Tabellen'!$C$21+Baukon[[#This Row],[PENRT '[MJ/m²'] min]]/'Ausgabe Tabellen'!$C$22+Baukon[[#This Row],[RMI '[kg Primärrohstoffe/m²'] min]]/'Ausgabe Tabellen'!$C$23+Baukon[[#This Row],[WDP '[m² weighted water/m²'] min]]/'Ausgabe Tabellen'!$C$24</f>
        <v>3.478898463968548E-2</v>
      </c>
      <c r="AU21" s="39">
        <f>Baukon[[#This Row],[GWP '[kg CO2-Äqu./m²'] max]]/'Ausgabe Tabellen'!$C$21+Baukon[[#This Row],[PENRT '[MJ/m²'] max]]/'Ausgabe Tabellen'!$C$22+Baukon[[#This Row],[RMI '[kg Primärrohstoffe/m²'] max]]/'Ausgabe Tabellen'!$C$23+Baukon[[#This Row],[WDP '[m² weighted water/m²'] max]]/'Ausgabe Tabellen'!$C$24</f>
        <v>3.478898463968548E-2</v>
      </c>
    </row>
    <row r="22" spans="1:47" s="24" customFormat="1" ht="15.75" x14ac:dyDescent="0.5">
      <c r="A22" s="36" t="s">
        <v>53</v>
      </c>
      <c r="B22" s="36" t="s">
        <v>302</v>
      </c>
      <c r="C22" s="36">
        <v>2</v>
      </c>
      <c r="D22" s="36" t="s">
        <v>303</v>
      </c>
      <c r="E22" s="36" t="str">
        <f>Baukon[[#This Row],[Variante Nummer]]&amp;". "&amp;Baukon[[#This Row],[Name Baukonstruktion]]&amp;" | " &amp;Baukon[[#This Row],[Variante Name]]</f>
        <v>2. Stahlbeton (R-Beton) - Bodenplatte | Referenz XPS</v>
      </c>
      <c r="F22" s="36" t="s">
        <v>322</v>
      </c>
      <c r="G22" s="36" t="s">
        <v>229</v>
      </c>
      <c r="H22" s="36" t="s">
        <v>225</v>
      </c>
      <c r="I22" s="41">
        <v>400</v>
      </c>
      <c r="J22" s="36">
        <f>IF(Baukon[[#This Row],[Material ist Dämmstoff?]]="ja",Baukon[[#This Row],[Dicke '[mm'] Referenz]]+_xlfn.XLOOKUP(RIGHT(Baukon[[#Headers],[Dicke '[mm'] min]],3),Dämmstoffvarianten[Variante],Dämmstoffvarianten[Differenz Dämmstoffedicke zu Referenz '[mm']]),Baukon[[#This Row],[Dicke '[mm'] Referenz]])</f>
        <v>400</v>
      </c>
      <c r="K22" s="36">
        <f>IF(Baukon[[#This Row],[Material ist Dämmstoff?]]="ja",Baukon[[#This Row],[Dicke '[mm'] Referenz]]+_xlfn.XLOOKUP(RIGHT(Baukon[[#Headers],[Dicke '[mm'] max]],3),Dämmstoffvarianten[Variante],Dämmstoffvarianten[Differenz Dämmstoffedicke zu Referenz '[mm']]),Baukon[[#This Row],[Dicke '[mm'] Referenz]])</f>
        <v>400</v>
      </c>
      <c r="L22" s="43">
        <f>45/7800</f>
        <v>5.7692307692307696E-3</v>
      </c>
      <c r="M22" s="41"/>
      <c r="N22" s="103">
        <f>IFERROR(Baukon[[#This Row],[Dicke '[mm'] Referenz]]/1000*Baukon[[#This Row],[Flächenanteil '[%']]],"")</f>
        <v>2.3076923076923079E-3</v>
      </c>
      <c r="O22" s="103">
        <f>IFERROR(Baukon[[#This Row],[Dicke '[mm'] min]]/1000*Baukon[[#This Row],[Flächenanteil '[%']]],"")</f>
        <v>2.3076923076923079E-3</v>
      </c>
      <c r="P22" s="103">
        <f>IFERROR(Baukon[[#This Row],[Dicke '[mm'] max]]/1000*Baukon[[#This Row],[Flächenanteil '[%']]],"")</f>
        <v>2.3076923076923079E-3</v>
      </c>
      <c r="Q22"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18.115384615384617</v>
      </c>
      <c r="R22"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18.115384615384617</v>
      </c>
      <c r="S22"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18.115384615384617</v>
      </c>
      <c r="T22" s="42" t="s">
        <v>441</v>
      </c>
      <c r="U22" s="103" t="str">
        <f>_xlfn.XLOOKUP(Baukon[[#This Row],[Material]],LeitRess_Materialien[Name],LeitRess_Materialien[Material_UUID])</f>
        <v>e9ae96ee-ba8d-420d-9725-7c8abd06e082</v>
      </c>
      <c r="V22" s="42">
        <f>_xlfn.XLOOKUP(Baukon[[#This Row],[LCA Datensatz]],LeitRess_Materialien[Material_UUID],LeitRess_Materialien[Rohdichte_'[kg/m3']])</f>
        <v>7850</v>
      </c>
      <c r="W22" s="42">
        <f>_xlfn.XLOOKUP(Baukon[[#This Row],[LCA Datensatz]],LeitRess_Materialien[Material_UUID],LeitRess_Materialien[Flächengewicht_'[kg/m2']])</f>
        <v>0</v>
      </c>
      <c r="X22" s="104">
        <f>_xlfn.XLOOKUP(Baukon[[#This Row],[LCA Datensatz]],LeitRess_Materialien[Material_UUID],LeitRess_Materialien[Längengewicht_'[kg/m']])</f>
        <v>0</v>
      </c>
      <c r="Y22" s="104">
        <f>_xlfn.XLOOKUP(Baukon[[#This Row],[LCA Datensatz]],LeitRess_Materialien[Material_UUID],LeitRess_Materialien[lambda_'[W/mK']])</f>
        <v>50</v>
      </c>
      <c r="Z22" s="103">
        <f>IFERROR(Baukon[[#This Row],[Dicke '[mm'] Referenz]]/Baukon[[#This Row],[lambda_'[W/mK']]],"")</f>
        <v>8</v>
      </c>
      <c r="AA22" s="37">
        <f>_xlfn.XLOOKUP(Baukon[[#This Row],[LCA Datensatz]],LeitRess_Materialien[Material_UUID],LeitRess_Materialien[RMI '[kg Primärrohstoffe / kg']])*Baukon[[#This Row],[Masse '[kg/m²'] Referenz]]</f>
        <v>94.753878319826995</v>
      </c>
      <c r="AB22" s="37">
        <f>_xlfn.XLOOKUP(Baukon[[#This Row],[LCA Datensatz]],LeitRess_Materialien[Material_UUID],LeitRess_Materialien[RMI '[kg Primärrohstoffe / kg']])*Baukon[[#This Row],[Masse '[kg/m²'] min]]</f>
        <v>94.753878319826995</v>
      </c>
      <c r="AC22" s="37">
        <f>_xlfn.XLOOKUP(Baukon[[#This Row],[LCA Datensatz]],LeitRess_Materialien[Material_UUID],LeitRess_Materialien[RMI '[kg Primärrohstoffe / kg']])*Baukon[[#This Row],[Masse '[kg/m²'] max]]</f>
        <v>94.753878319826995</v>
      </c>
      <c r="AD22" s="37">
        <f>_xlfn.XLOOKUP(Baukon[[#This Row],[LCA Datensatz]],LeitRess_Materialien[Material_UUID],LeitRess_Materialien[TMR '[kg Gesamtmaterialaufwand/kg']])*Baukon[[#This Row],[Masse '[kg/m²'] Referenz]]</f>
        <v>149.54526776437891</v>
      </c>
      <c r="AE22" s="37">
        <f>_xlfn.XLOOKUP(Baukon[[#This Row],[LCA Datensatz]],LeitRess_Materialien[Material_UUID],LeitRess_Materialien[TMR '[kg Gesamtmaterialaufwand/kg']])*Baukon[[#This Row],[Masse '[kg/m²'] min]]</f>
        <v>149.54526776437891</v>
      </c>
      <c r="AF22" s="37">
        <f>_xlfn.XLOOKUP(Baukon[[#This Row],[LCA Datensatz]],LeitRess_Materialien[Material_UUID],LeitRess_Materialien[TMR '[kg Gesamtmaterialaufwand/kg']])*Baukon[[#This Row],[Masse '[kg/m²'] max]]</f>
        <v>149.54526776437891</v>
      </c>
      <c r="AG22" s="37">
        <f>_xlfn.XLOOKUP(Baukon[[#This Row],[LCA Datensatz]],LeitRess_Materialien[Material_UUID],LeitRess_Materialien[GWP '[kg CO2-Äqu./kg']])*Baukon[[#This Row],[Masse '[kg/m²'] Referenz]]</f>
        <v>39.256645672482009</v>
      </c>
      <c r="AH22" s="37">
        <f>_xlfn.XLOOKUP(Baukon[[#This Row],[LCA Datensatz]],LeitRess_Materialien[Material_UUID],LeitRess_Materialien[GWP '[kg CO2-Äqu./kg']])*Baukon[[#This Row],[Masse '[kg/m²'] min]]</f>
        <v>39.256645672482009</v>
      </c>
      <c r="AI22" s="37">
        <f>_xlfn.XLOOKUP(Baukon[[#This Row],[LCA Datensatz]],LeitRess_Materialien[Material_UUID],LeitRess_Materialien[GWP '[kg CO2-Äqu./kg']])*Baukon[[#This Row],[Masse '[kg/m²'] max]]</f>
        <v>39.256645672482009</v>
      </c>
      <c r="AJ22" s="37">
        <f>_xlfn.XLOOKUP(Baukon[[#This Row],[LCA Datensatz]],LeitRess_Materialien[Material_UUID],LeitRess_Materialien[PENRT '[MJ/kg']])*Baukon[[#This Row],[Masse '[kg/m²'] Referenz]]</f>
        <v>553.59672865798018</v>
      </c>
      <c r="AK22" s="37">
        <f>_xlfn.XLOOKUP(Baukon[[#This Row],[LCA Datensatz]],LeitRess_Materialien[Material_UUID],LeitRess_Materialien[PENRT '[MJ/kg']])*Baukon[[#This Row],[Masse '[kg/m²'] min]]</f>
        <v>553.59672865798018</v>
      </c>
      <c r="AL22" s="37">
        <f>_xlfn.XLOOKUP(Baukon[[#This Row],[LCA Datensatz]],LeitRess_Materialien[Material_UUID],LeitRess_Materialien[PENRT '[MJ/kg']])*Baukon[[#This Row],[Masse '[kg/m²'] max]]</f>
        <v>553.59672865798018</v>
      </c>
      <c r="AM22" s="37" t="e">
        <f>_xlfn.XLOOKUP(Baukon[[#This Row],[LCA Datensatz]],LeitRess_Materialien[Material_UUID],#REF!)*Baukon[[#This Row],[Masse '[kg/m²'] Referenz]]</f>
        <v>#REF!</v>
      </c>
      <c r="AN22" s="37" t="e">
        <f>_xlfn.XLOOKUP(Baukon[[#This Row],[LCA Datensatz]],LeitRess_Materialien[Material_UUID],#REF!)*Baukon[[#This Row],[Masse '[kg/m²'] min]]</f>
        <v>#REF!</v>
      </c>
      <c r="AO22" s="37" t="e">
        <f>_xlfn.XLOOKUP(Baukon[[#This Row],[LCA Datensatz]],LeitRess_Materialien[Material_UUID],#REF!)*Baukon[[#This Row],[Masse '[kg/m²'] max]]</f>
        <v>#REF!</v>
      </c>
      <c r="AP22" s="37">
        <f>_xlfn.XLOOKUP(Baukon[[#This Row],[LCA Datensatz]],LeitRess_Materialien[Material_UUID],LeitRess_Materialien[WDP '[m³ weighted water/kg']])*Baukon[[#This Row],[Masse '[kg/m²'] Referenz]]</f>
        <v>16.557608956463486</v>
      </c>
      <c r="AQ22" s="37">
        <f>_xlfn.XLOOKUP(Baukon[[#This Row],[LCA Datensatz]],LeitRess_Materialien[Material_UUID],LeitRess_Materialien[WDP '[m³ weighted water/kg']])*Baukon[[#This Row],[Masse '[kg/m²'] min]]</f>
        <v>16.557608956463486</v>
      </c>
      <c r="AR22" s="37">
        <f>_xlfn.XLOOKUP(Baukon[[#This Row],[LCA Datensatz]],LeitRess_Materialien[Material_UUID],LeitRess_Materialien[WDP '[m³ weighted water/kg']])*Baukon[[#This Row],[Masse '[kg/m²'] max]]</f>
        <v>16.557608956463486</v>
      </c>
      <c r="AS22" s="39">
        <f>Baukon[[#This Row],[GWP '[kg CO2-Äqu./m²'] Referenz]]/'Ausgabe Tabellen'!$C$21+Baukon[[#This Row],[PENRT '[MJ/m²'] Referenz]]/'Ausgabe Tabellen'!$C$22+Baukon[[#This Row],[RMI '[kg Primärrohstoffe/m²'] Referenz]]/'Ausgabe Tabellen'!$C$23+Baukon[[#This Row],[WDP '[m² weighted water/m²'] Referenz]]/'Ausgabe Tabellen'!$C$24</f>
        <v>1.1581497655905205E-2</v>
      </c>
      <c r="AT22" s="39">
        <f>Baukon[[#This Row],[GWP '[kg CO2-Äqu./m²'] min]]/'Ausgabe Tabellen'!$C$21+Baukon[[#This Row],[PENRT '[MJ/m²'] min]]/'Ausgabe Tabellen'!$C$22+Baukon[[#This Row],[RMI '[kg Primärrohstoffe/m²'] min]]/'Ausgabe Tabellen'!$C$23+Baukon[[#This Row],[WDP '[m² weighted water/m²'] min]]/'Ausgabe Tabellen'!$C$24</f>
        <v>1.1581497655905205E-2</v>
      </c>
      <c r="AU22" s="39">
        <f>Baukon[[#This Row],[GWP '[kg CO2-Äqu./m²'] max]]/'Ausgabe Tabellen'!$C$21+Baukon[[#This Row],[PENRT '[MJ/m²'] max]]/'Ausgabe Tabellen'!$C$22+Baukon[[#This Row],[RMI '[kg Primärrohstoffe/m²'] max]]/'Ausgabe Tabellen'!$C$23+Baukon[[#This Row],[WDP '[m² weighted water/m²'] max]]/'Ausgabe Tabellen'!$C$24</f>
        <v>1.1581497655905205E-2</v>
      </c>
    </row>
    <row r="23" spans="1:47" s="24" customFormat="1" ht="15.75" x14ac:dyDescent="0.5">
      <c r="A23" s="36" t="s">
        <v>53</v>
      </c>
      <c r="B23" s="36" t="s">
        <v>302</v>
      </c>
      <c r="C23" s="36">
        <v>2</v>
      </c>
      <c r="D23" s="36" t="s">
        <v>303</v>
      </c>
      <c r="E23" s="36" t="str">
        <f>Baukon[[#This Row],[Variante Nummer]]&amp;". "&amp;Baukon[[#This Row],[Name Baukonstruktion]]&amp;" | " &amp;Baukon[[#This Row],[Variante Name]]</f>
        <v>2. Stahlbeton (R-Beton) - Bodenplatte | Referenz XPS</v>
      </c>
      <c r="F23" s="36" t="s">
        <v>323</v>
      </c>
      <c r="G23" s="36" t="s">
        <v>279</v>
      </c>
      <c r="H23" s="36" t="s">
        <v>225</v>
      </c>
      <c r="I23" s="41" t="s">
        <v>497</v>
      </c>
      <c r="J23" s="36" t="str">
        <f>IF(Baukon[[#This Row],[Material ist Dämmstoff?]]="ja",Baukon[[#This Row],[Dicke '[mm'] Referenz]]+_xlfn.XLOOKUP(RIGHT(Baukon[[#Headers],[Dicke '[mm'] min]],3),Dämmstoffvarianten[Variante],Dämmstoffvarianten[Differenz Dämmstoffedicke zu Referenz '[mm']]),Baukon[[#This Row],[Dicke '[mm'] Referenz]])</f>
        <v>4,5</v>
      </c>
      <c r="K23" s="36" t="str">
        <f>IF(Baukon[[#This Row],[Material ist Dämmstoff?]]="ja",Baukon[[#This Row],[Dicke '[mm'] Referenz]]+_xlfn.XLOOKUP(RIGHT(Baukon[[#Headers],[Dicke '[mm'] max]],3),Dämmstoffvarianten[Variante],Dämmstoffvarianten[Differenz Dämmstoffedicke zu Referenz '[mm']]),Baukon[[#This Row],[Dicke '[mm'] Referenz]])</f>
        <v>4,5</v>
      </c>
      <c r="L23" s="43">
        <v>1</v>
      </c>
      <c r="M23" s="41"/>
      <c r="N23" s="103">
        <f>IFERROR(Baukon[[#This Row],[Dicke '[mm'] Referenz]]/1000*Baukon[[#This Row],[Flächenanteil '[%']]],"")</f>
        <v>4.4999999999999997E-3</v>
      </c>
      <c r="O23" s="103">
        <f>IFERROR(Baukon[[#This Row],[Dicke '[mm'] min]]/1000*Baukon[[#This Row],[Flächenanteil '[%']]],"")</f>
        <v>4.4999999999999997E-3</v>
      </c>
      <c r="P23" s="103">
        <f>IFERROR(Baukon[[#This Row],[Dicke '[mm'] max]]/1000*Baukon[[#This Row],[Flächenanteil '[%']]],"")</f>
        <v>4.4999999999999997E-3</v>
      </c>
      <c r="Q23"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5.3999999999999995</v>
      </c>
      <c r="R23"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5.3999999999999995</v>
      </c>
      <c r="S23"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5.3999999999999995</v>
      </c>
      <c r="T23" s="42" t="s">
        <v>226</v>
      </c>
      <c r="U23" s="103" t="str">
        <f>_xlfn.XLOOKUP(Baukon[[#This Row],[Material]],LeitRess_Materialien[Name],LeitRess_Materialien[Material_UUID])</f>
        <v>73d1c1b7-d509-44c8-8518-848babdd7c01</v>
      </c>
      <c r="V23" s="42">
        <f>_xlfn.XLOOKUP(Baukon[[#This Row],[LCA Datensatz]],LeitRess_Materialien[Material_UUID],LeitRess_Materialien[Rohdichte_'[kg/m3']])</f>
        <v>1200</v>
      </c>
      <c r="W23" s="42">
        <f>_xlfn.XLOOKUP(Baukon[[#This Row],[LCA Datensatz]],LeitRess_Materialien[Material_UUID],LeitRess_Materialien[Flächengewicht_'[kg/m2']])</f>
        <v>5</v>
      </c>
      <c r="X23" s="104">
        <f>_xlfn.XLOOKUP(Baukon[[#This Row],[LCA Datensatz]],LeitRess_Materialien[Material_UUID],LeitRess_Materialien[Längengewicht_'[kg/m']])</f>
        <v>0</v>
      </c>
      <c r="Y23" s="104">
        <f>_xlfn.XLOOKUP(Baukon[[#This Row],[LCA Datensatz]],LeitRess_Materialien[Material_UUID],LeitRess_Materialien[lambda_'[W/mK']])</f>
        <v>0.215</v>
      </c>
      <c r="Z23" s="103">
        <f>IFERROR(Baukon[[#This Row],[Dicke '[mm'] Referenz]]/Baukon[[#This Row],[lambda_'[W/mK']]],"")</f>
        <v>20.930232558139537</v>
      </c>
      <c r="AA23" s="37">
        <f>_xlfn.XLOOKUP(Baukon[[#This Row],[LCA Datensatz]],LeitRess_Materialien[Material_UUID],LeitRess_Materialien[RMI '[kg Primärrohstoffe / kg']])*Baukon[[#This Row],[Masse '[kg/m²'] Referenz]]</f>
        <v>8.5845268188329023</v>
      </c>
      <c r="AB23" s="37">
        <f>_xlfn.XLOOKUP(Baukon[[#This Row],[LCA Datensatz]],LeitRess_Materialien[Material_UUID],LeitRess_Materialien[RMI '[kg Primärrohstoffe / kg']])*Baukon[[#This Row],[Masse '[kg/m²'] min]]</f>
        <v>8.5845268188329023</v>
      </c>
      <c r="AC23" s="37">
        <f>_xlfn.XLOOKUP(Baukon[[#This Row],[LCA Datensatz]],LeitRess_Materialien[Material_UUID],LeitRess_Materialien[RMI '[kg Primärrohstoffe / kg']])*Baukon[[#This Row],[Masse '[kg/m²'] max]]</f>
        <v>8.5845268188329023</v>
      </c>
      <c r="AD23" s="37">
        <f>_xlfn.XLOOKUP(Baukon[[#This Row],[LCA Datensatz]],LeitRess_Materialien[Material_UUID],LeitRess_Materialien[TMR '[kg Gesamtmaterialaufwand/kg']])*Baukon[[#This Row],[Masse '[kg/m²'] Referenz]]</f>
        <v>10.861523684728702</v>
      </c>
      <c r="AE23" s="37">
        <f>_xlfn.XLOOKUP(Baukon[[#This Row],[LCA Datensatz]],LeitRess_Materialien[Material_UUID],LeitRess_Materialien[TMR '[kg Gesamtmaterialaufwand/kg']])*Baukon[[#This Row],[Masse '[kg/m²'] min]]</f>
        <v>10.861523684728702</v>
      </c>
      <c r="AF23" s="37">
        <f>_xlfn.XLOOKUP(Baukon[[#This Row],[LCA Datensatz]],LeitRess_Materialien[Material_UUID],LeitRess_Materialien[TMR '[kg Gesamtmaterialaufwand/kg']])*Baukon[[#This Row],[Masse '[kg/m²'] max]]</f>
        <v>10.861523684728702</v>
      </c>
      <c r="AG23" s="37">
        <f>_xlfn.XLOOKUP(Baukon[[#This Row],[LCA Datensatz]],LeitRess_Materialien[Material_UUID],LeitRess_Materialien[GWP '[kg CO2-Äqu./kg']])*Baukon[[#This Row],[Masse '[kg/m²'] Referenz]]</f>
        <v>3.0978425180957716</v>
      </c>
      <c r="AH23" s="37">
        <f>_xlfn.XLOOKUP(Baukon[[#This Row],[LCA Datensatz]],LeitRess_Materialien[Material_UUID],LeitRess_Materialien[GWP '[kg CO2-Äqu./kg']])*Baukon[[#This Row],[Masse '[kg/m²'] min]]</f>
        <v>3.0978425180957716</v>
      </c>
      <c r="AI23" s="37">
        <f>_xlfn.XLOOKUP(Baukon[[#This Row],[LCA Datensatz]],LeitRess_Materialien[Material_UUID],LeitRess_Materialien[GWP '[kg CO2-Äqu./kg']])*Baukon[[#This Row],[Masse '[kg/m²'] max]]</f>
        <v>3.0978425180957716</v>
      </c>
      <c r="AJ23" s="37">
        <f>_xlfn.XLOOKUP(Baukon[[#This Row],[LCA Datensatz]],LeitRess_Materialien[Material_UUID],LeitRess_Materialien[PENRT '[MJ/kg']])*Baukon[[#This Row],[Masse '[kg/m²'] Referenz]]</f>
        <v>205.89156271166578</v>
      </c>
      <c r="AK23" s="37">
        <f>_xlfn.XLOOKUP(Baukon[[#This Row],[LCA Datensatz]],LeitRess_Materialien[Material_UUID],LeitRess_Materialien[PENRT '[MJ/kg']])*Baukon[[#This Row],[Masse '[kg/m²'] min]]</f>
        <v>205.89156271166578</v>
      </c>
      <c r="AL23" s="37">
        <f>_xlfn.XLOOKUP(Baukon[[#This Row],[LCA Datensatz]],LeitRess_Materialien[Material_UUID],LeitRess_Materialien[PENRT '[MJ/kg']])*Baukon[[#This Row],[Masse '[kg/m²'] max]]</f>
        <v>205.89156271166578</v>
      </c>
      <c r="AM23" s="37" t="e">
        <f>_xlfn.XLOOKUP(Baukon[[#This Row],[LCA Datensatz]],LeitRess_Materialien[Material_UUID],#REF!)*Baukon[[#This Row],[Masse '[kg/m²'] Referenz]]</f>
        <v>#REF!</v>
      </c>
      <c r="AN23" s="37" t="e">
        <f>_xlfn.XLOOKUP(Baukon[[#This Row],[LCA Datensatz]],LeitRess_Materialien[Material_UUID],#REF!)*Baukon[[#This Row],[Masse '[kg/m²'] min]]</f>
        <v>#REF!</v>
      </c>
      <c r="AO23" s="37" t="e">
        <f>_xlfn.XLOOKUP(Baukon[[#This Row],[LCA Datensatz]],LeitRess_Materialien[Material_UUID],#REF!)*Baukon[[#This Row],[Masse '[kg/m²'] max]]</f>
        <v>#REF!</v>
      </c>
      <c r="AP23" s="37">
        <f>_xlfn.XLOOKUP(Baukon[[#This Row],[LCA Datensatz]],LeitRess_Materialien[Material_UUID],LeitRess_Materialien[WDP '[m³ weighted water/kg']])*Baukon[[#This Row],[Masse '[kg/m²'] Referenz]]</f>
        <v>1.0439895220025921</v>
      </c>
      <c r="AQ23" s="37">
        <f>_xlfn.XLOOKUP(Baukon[[#This Row],[LCA Datensatz]],LeitRess_Materialien[Material_UUID],LeitRess_Materialien[WDP '[m³ weighted water/kg']])*Baukon[[#This Row],[Masse '[kg/m²'] min]]</f>
        <v>1.0439895220025921</v>
      </c>
      <c r="AR23" s="37">
        <f>_xlfn.XLOOKUP(Baukon[[#This Row],[LCA Datensatz]],LeitRess_Materialien[Material_UUID],LeitRess_Materialien[WDP '[m³ weighted water/kg']])*Baukon[[#This Row],[Masse '[kg/m²'] max]]</f>
        <v>1.0439895220025921</v>
      </c>
      <c r="AS23" s="39">
        <f>Baukon[[#This Row],[GWP '[kg CO2-Äqu./m²'] Referenz]]/'Ausgabe Tabellen'!$C$21+Baukon[[#This Row],[PENRT '[MJ/m²'] Referenz]]/'Ausgabe Tabellen'!$C$22+Baukon[[#This Row],[RMI '[kg Primärrohstoffe/m²'] Referenz]]/'Ausgabe Tabellen'!$C$23+Baukon[[#This Row],[WDP '[m² weighted water/m²'] Referenz]]/'Ausgabe Tabellen'!$C$24</f>
        <v>2.0788073179691066E-3</v>
      </c>
      <c r="AT23" s="39">
        <f>Baukon[[#This Row],[GWP '[kg CO2-Äqu./m²'] min]]/'Ausgabe Tabellen'!$C$21+Baukon[[#This Row],[PENRT '[MJ/m²'] min]]/'Ausgabe Tabellen'!$C$22+Baukon[[#This Row],[RMI '[kg Primärrohstoffe/m²'] min]]/'Ausgabe Tabellen'!$C$23+Baukon[[#This Row],[WDP '[m² weighted water/m²'] min]]/'Ausgabe Tabellen'!$C$24</f>
        <v>2.0788073179691066E-3</v>
      </c>
      <c r="AU23" s="39">
        <f>Baukon[[#This Row],[GWP '[kg CO2-Äqu./m²'] max]]/'Ausgabe Tabellen'!$C$21+Baukon[[#This Row],[PENRT '[MJ/m²'] max]]/'Ausgabe Tabellen'!$C$22+Baukon[[#This Row],[RMI '[kg Primärrohstoffe/m²'] max]]/'Ausgabe Tabellen'!$C$23+Baukon[[#This Row],[WDP '[m² weighted water/m²'] max]]/'Ausgabe Tabellen'!$C$24</f>
        <v>2.0788073179691066E-3</v>
      </c>
    </row>
    <row r="24" spans="1:47" s="24" customFormat="1" ht="15.75" x14ac:dyDescent="0.5">
      <c r="A24" s="36" t="s">
        <v>53</v>
      </c>
      <c r="B24" s="36" t="s">
        <v>302</v>
      </c>
      <c r="C24" s="36">
        <v>2</v>
      </c>
      <c r="D24" s="36" t="s">
        <v>303</v>
      </c>
      <c r="E24" s="36" t="str">
        <f>Baukon[[#This Row],[Variante Nummer]]&amp;". "&amp;Baukon[[#This Row],[Name Baukonstruktion]]&amp;" | " &amp;Baukon[[#This Row],[Variante Name]]</f>
        <v>2. Stahlbeton (R-Beton) - Bodenplatte | Referenz XPS</v>
      </c>
      <c r="F24" s="36" t="s">
        <v>321</v>
      </c>
      <c r="G24" s="36" t="s">
        <v>256</v>
      </c>
      <c r="H24" s="36" t="s">
        <v>225</v>
      </c>
      <c r="I24" s="41">
        <v>150</v>
      </c>
      <c r="J24" s="36">
        <f>IF(Baukon[[#This Row],[Material ist Dämmstoff?]]="ja",Baukon[[#This Row],[Dicke '[mm'] Referenz]]+_xlfn.XLOOKUP(RIGHT(Baukon[[#Headers],[Dicke '[mm'] min]],3),Dämmstoffvarianten[Variante],Dämmstoffvarianten[Differenz Dämmstoffedicke zu Referenz '[mm']]),Baukon[[#This Row],[Dicke '[mm'] Referenz]])</f>
        <v>150</v>
      </c>
      <c r="K24" s="36">
        <f>IF(Baukon[[#This Row],[Material ist Dämmstoff?]]="ja",Baukon[[#This Row],[Dicke '[mm'] Referenz]]+_xlfn.XLOOKUP(RIGHT(Baukon[[#Headers],[Dicke '[mm'] max]],3),Dämmstoffvarianten[Variante],Dämmstoffvarianten[Differenz Dämmstoffedicke zu Referenz '[mm']]),Baukon[[#This Row],[Dicke '[mm'] Referenz]])</f>
        <v>150</v>
      </c>
      <c r="L24" s="43">
        <v>1</v>
      </c>
      <c r="M24" s="41"/>
      <c r="N24" s="103">
        <f>IFERROR(Baukon[[#This Row],[Dicke '[mm'] Referenz]]/1000*Baukon[[#This Row],[Flächenanteil '[%']]],"")</f>
        <v>0.15</v>
      </c>
      <c r="O24" s="103">
        <f>IFERROR(Baukon[[#This Row],[Dicke '[mm'] min]]/1000*Baukon[[#This Row],[Flächenanteil '[%']]],"")</f>
        <v>0.15</v>
      </c>
      <c r="P24" s="103">
        <f>IFERROR(Baukon[[#This Row],[Dicke '[mm'] max]]/1000*Baukon[[#This Row],[Flächenanteil '[%']]],"")</f>
        <v>0.15</v>
      </c>
      <c r="Q24"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360</v>
      </c>
      <c r="R24"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360</v>
      </c>
      <c r="S24"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360</v>
      </c>
      <c r="T24" s="42" t="s">
        <v>226</v>
      </c>
      <c r="U24" s="103" t="str">
        <f>_xlfn.XLOOKUP(Baukon[[#This Row],[Material]],LeitRess_Materialien[Name],LeitRess_Materialien[Material_UUID])</f>
        <v>0973f221-2284-4892-ae3d-1b8c2986b6dd</v>
      </c>
      <c r="V24" s="42">
        <f>_xlfn.XLOOKUP(Baukon[[#This Row],[LCA Datensatz]],LeitRess_Materialien[Material_UUID],LeitRess_Materialien[Rohdichte_'[kg/m3']])</f>
        <v>2400</v>
      </c>
      <c r="W24" s="42">
        <f>_xlfn.XLOOKUP(Baukon[[#This Row],[LCA Datensatz]],LeitRess_Materialien[Material_UUID],LeitRess_Materialien[Flächengewicht_'[kg/m2']])</f>
        <v>0</v>
      </c>
      <c r="X24" s="104">
        <f>_xlfn.XLOOKUP(Baukon[[#This Row],[LCA Datensatz]],LeitRess_Materialien[Material_UUID],LeitRess_Materialien[Längengewicht_'[kg/m']])</f>
        <v>0</v>
      </c>
      <c r="Y24" s="104">
        <f>_xlfn.XLOOKUP(Baukon[[#This Row],[LCA Datensatz]],LeitRess_Materialien[Material_UUID],LeitRess_Materialien[lambda_'[W/mK']])</f>
        <v>1.4</v>
      </c>
      <c r="Z24" s="103">
        <f>IFERROR(Baukon[[#This Row],[Dicke '[mm'] Referenz]]/Baukon[[#This Row],[lambda_'[W/mK']]],"")</f>
        <v>107.14285714285715</v>
      </c>
      <c r="AA24" s="37">
        <f>_xlfn.XLOOKUP(Baukon[[#This Row],[LCA Datensatz]],LeitRess_Materialien[Material_UUID],LeitRess_Materialien[RMI '[kg Primärrohstoffe / kg']])*Baukon[[#This Row],[Masse '[kg/m²'] Referenz]]</f>
        <v>434.38885675165795</v>
      </c>
      <c r="AB24" s="37">
        <f>_xlfn.XLOOKUP(Baukon[[#This Row],[LCA Datensatz]],LeitRess_Materialien[Material_UUID],LeitRess_Materialien[RMI '[kg Primärrohstoffe / kg']])*Baukon[[#This Row],[Masse '[kg/m²'] min]]</f>
        <v>434.38885675165795</v>
      </c>
      <c r="AC24" s="37">
        <f>_xlfn.XLOOKUP(Baukon[[#This Row],[LCA Datensatz]],LeitRess_Materialien[Material_UUID],LeitRess_Materialien[RMI '[kg Primärrohstoffe / kg']])*Baukon[[#This Row],[Masse '[kg/m²'] max]]</f>
        <v>434.38885675165795</v>
      </c>
      <c r="AD24" s="37">
        <f>_xlfn.XLOOKUP(Baukon[[#This Row],[LCA Datensatz]],LeitRess_Materialien[Material_UUID],LeitRess_Materialien[TMR '[kg Gesamtmaterialaufwand/kg']])*Baukon[[#This Row],[Masse '[kg/m²'] Referenz]]</f>
        <v>465.59575440345964</v>
      </c>
      <c r="AE24" s="37">
        <f>_xlfn.XLOOKUP(Baukon[[#This Row],[LCA Datensatz]],LeitRess_Materialien[Material_UUID],LeitRess_Materialien[TMR '[kg Gesamtmaterialaufwand/kg']])*Baukon[[#This Row],[Masse '[kg/m²'] min]]</f>
        <v>465.59575440345964</v>
      </c>
      <c r="AF24" s="37">
        <f>_xlfn.XLOOKUP(Baukon[[#This Row],[LCA Datensatz]],LeitRess_Materialien[Material_UUID],LeitRess_Materialien[TMR '[kg Gesamtmaterialaufwand/kg']])*Baukon[[#This Row],[Masse '[kg/m²'] max]]</f>
        <v>465.59575440345964</v>
      </c>
      <c r="AG24" s="37">
        <f>_xlfn.XLOOKUP(Baukon[[#This Row],[LCA Datensatz]],LeitRess_Materialien[Material_UUID],LeitRess_Materialien[GWP '[kg CO2-Äqu./kg']])*Baukon[[#This Row],[Masse '[kg/m²'] Referenz]]</f>
        <v>83.710457744599083</v>
      </c>
      <c r="AH24" s="37">
        <f>_xlfn.XLOOKUP(Baukon[[#This Row],[LCA Datensatz]],LeitRess_Materialien[Material_UUID],LeitRess_Materialien[GWP '[kg CO2-Äqu./kg']])*Baukon[[#This Row],[Masse '[kg/m²'] min]]</f>
        <v>83.710457744599083</v>
      </c>
      <c r="AI24" s="37">
        <f>_xlfn.XLOOKUP(Baukon[[#This Row],[LCA Datensatz]],LeitRess_Materialien[Material_UUID],LeitRess_Materialien[GWP '[kg CO2-Äqu./kg']])*Baukon[[#This Row],[Masse '[kg/m²'] max]]</f>
        <v>83.710457744599083</v>
      </c>
      <c r="AJ24" s="37">
        <f>_xlfn.XLOOKUP(Baukon[[#This Row],[LCA Datensatz]],LeitRess_Materialien[Material_UUID],LeitRess_Materialien[PENRT '[MJ/kg']])*Baukon[[#This Row],[Masse '[kg/m²'] Referenz]]</f>
        <v>646.64678231362802</v>
      </c>
      <c r="AK24" s="37">
        <f>_xlfn.XLOOKUP(Baukon[[#This Row],[LCA Datensatz]],LeitRess_Materialien[Material_UUID],LeitRess_Materialien[PENRT '[MJ/kg']])*Baukon[[#This Row],[Masse '[kg/m²'] min]]</f>
        <v>646.64678231362802</v>
      </c>
      <c r="AL24" s="37">
        <f>_xlfn.XLOOKUP(Baukon[[#This Row],[LCA Datensatz]],LeitRess_Materialien[Material_UUID],LeitRess_Materialien[PENRT '[MJ/kg']])*Baukon[[#This Row],[Masse '[kg/m²'] max]]</f>
        <v>646.64678231362802</v>
      </c>
      <c r="AM24" s="37" t="e">
        <f>_xlfn.XLOOKUP(Baukon[[#This Row],[LCA Datensatz]],LeitRess_Materialien[Material_UUID],#REF!)*Baukon[[#This Row],[Masse '[kg/m²'] Referenz]]</f>
        <v>#REF!</v>
      </c>
      <c r="AN24" s="37" t="e">
        <f>_xlfn.XLOOKUP(Baukon[[#This Row],[LCA Datensatz]],LeitRess_Materialien[Material_UUID],#REF!)*Baukon[[#This Row],[Masse '[kg/m²'] min]]</f>
        <v>#REF!</v>
      </c>
      <c r="AO24" s="37" t="e">
        <f>_xlfn.XLOOKUP(Baukon[[#This Row],[LCA Datensatz]],LeitRess_Materialien[Material_UUID],#REF!)*Baukon[[#This Row],[Masse '[kg/m²'] max]]</f>
        <v>#REF!</v>
      </c>
      <c r="AP24" s="37">
        <f>_xlfn.XLOOKUP(Baukon[[#This Row],[LCA Datensatz]],LeitRess_Materialien[Material_UUID],LeitRess_Materialien[WDP '[m³ weighted water/kg']])*Baukon[[#This Row],[Masse '[kg/m²'] Referenz]]</f>
        <v>12.044908075038624</v>
      </c>
      <c r="AQ24" s="37">
        <f>_xlfn.XLOOKUP(Baukon[[#This Row],[LCA Datensatz]],LeitRess_Materialien[Material_UUID],LeitRess_Materialien[WDP '[m³ weighted water/kg']])*Baukon[[#This Row],[Masse '[kg/m²'] min]]</f>
        <v>12.044908075038624</v>
      </c>
      <c r="AR24" s="37">
        <f>_xlfn.XLOOKUP(Baukon[[#This Row],[LCA Datensatz]],LeitRess_Materialien[Material_UUID],LeitRess_Materialien[WDP '[m³ weighted water/kg']])*Baukon[[#This Row],[Masse '[kg/m²'] max]]</f>
        <v>12.044908075038624</v>
      </c>
      <c r="AS24" s="39">
        <f>Baukon[[#This Row],[GWP '[kg CO2-Äqu./m²'] Referenz]]/'Ausgabe Tabellen'!$C$21+Baukon[[#This Row],[PENRT '[MJ/m²'] Referenz]]/'Ausgabe Tabellen'!$C$22+Baukon[[#This Row],[RMI '[kg Primärrohstoffe/m²'] Referenz]]/'Ausgabe Tabellen'!$C$23+Baukon[[#This Row],[WDP '[m² weighted water/m²'] Referenz]]/'Ausgabe Tabellen'!$C$24</f>
        <v>2.5192635974851219E-2</v>
      </c>
      <c r="AT24" s="39">
        <f>Baukon[[#This Row],[GWP '[kg CO2-Äqu./m²'] min]]/'Ausgabe Tabellen'!$C$21+Baukon[[#This Row],[PENRT '[MJ/m²'] min]]/'Ausgabe Tabellen'!$C$22+Baukon[[#This Row],[RMI '[kg Primärrohstoffe/m²'] min]]/'Ausgabe Tabellen'!$C$23+Baukon[[#This Row],[WDP '[m² weighted water/m²'] min]]/'Ausgabe Tabellen'!$C$24</f>
        <v>2.5192635974851219E-2</v>
      </c>
      <c r="AU24" s="39">
        <f>Baukon[[#This Row],[GWP '[kg CO2-Äqu./m²'] max]]/'Ausgabe Tabellen'!$C$21+Baukon[[#This Row],[PENRT '[MJ/m²'] max]]/'Ausgabe Tabellen'!$C$22+Baukon[[#This Row],[RMI '[kg Primärrohstoffe/m²'] max]]/'Ausgabe Tabellen'!$C$23+Baukon[[#This Row],[WDP '[m² weighted water/m²'] max]]/'Ausgabe Tabellen'!$C$24</f>
        <v>2.5192635974851219E-2</v>
      </c>
    </row>
    <row r="25" spans="1:47" s="24" customFormat="1" ht="15.75" x14ac:dyDescent="0.5">
      <c r="A25" s="36" t="s">
        <v>53</v>
      </c>
      <c r="B25" s="36" t="s">
        <v>306</v>
      </c>
      <c r="C25" s="36">
        <v>1</v>
      </c>
      <c r="D25" s="36" t="s">
        <v>303</v>
      </c>
      <c r="E25" s="36" t="str">
        <f>Baukon[[#This Row],[Variante Nummer]]&amp;". "&amp;Baukon[[#This Row],[Name Baukonstruktion]]&amp;" | " &amp;Baukon[[#This Row],[Variante Name]]</f>
        <v>1. Stahlbeton-Bodenplatte | Referenz XPS</v>
      </c>
      <c r="F25" s="36" t="s">
        <v>304</v>
      </c>
      <c r="G25" s="36" t="s">
        <v>224</v>
      </c>
      <c r="H25" s="36" t="s">
        <v>225</v>
      </c>
      <c r="I25" s="41">
        <v>50</v>
      </c>
      <c r="J25" s="36">
        <f>IF(Baukon[[#This Row],[Material ist Dämmstoff?]]="ja",Baukon[[#This Row],[Dicke '[mm'] Referenz]]+_xlfn.XLOOKUP(RIGHT(Baukon[[#Headers],[Dicke '[mm'] min]],3),Dämmstoffvarianten[Variante],Dämmstoffvarianten[Differenz Dämmstoffedicke zu Referenz '[mm']]),Baukon[[#This Row],[Dicke '[mm'] Referenz]])</f>
        <v>50</v>
      </c>
      <c r="K25" s="36">
        <f>IF(Baukon[[#This Row],[Material ist Dämmstoff?]]="ja",Baukon[[#This Row],[Dicke '[mm'] Referenz]]+_xlfn.XLOOKUP(RIGHT(Baukon[[#Headers],[Dicke '[mm'] max]],3),Dämmstoffvarianten[Variante],Dämmstoffvarianten[Differenz Dämmstoffedicke zu Referenz '[mm']]),Baukon[[#This Row],[Dicke '[mm'] Referenz]])</f>
        <v>50</v>
      </c>
      <c r="L25" s="43">
        <v>1</v>
      </c>
      <c r="M25" s="41"/>
      <c r="N25" s="103">
        <f>IFERROR(Baukon[[#This Row],[Dicke '[mm'] Referenz]]/1000*Baukon[[#This Row],[Flächenanteil '[%']]],"")</f>
        <v>0.05</v>
      </c>
      <c r="O25" s="103">
        <f>IFERROR(Baukon[[#This Row],[Dicke '[mm'] min]]/1000*Baukon[[#This Row],[Flächenanteil '[%']]],"")</f>
        <v>0.05</v>
      </c>
      <c r="P25" s="103">
        <f>IFERROR(Baukon[[#This Row],[Dicke '[mm'] max]]/1000*Baukon[[#This Row],[Flächenanteil '[%']]],"")</f>
        <v>0.05</v>
      </c>
      <c r="Q25"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118</v>
      </c>
      <c r="R25"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118</v>
      </c>
      <c r="S25"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118</v>
      </c>
      <c r="T25" s="42" t="s">
        <v>226</v>
      </c>
      <c r="U25" s="103" t="str">
        <f>_xlfn.XLOOKUP(Baukon[[#This Row],[Material]],LeitRess_Materialien[Name],LeitRess_Materialien[Material_UUID])</f>
        <v>9702d9ab-2af2-4fdc-9d99-225583a9ffb7</v>
      </c>
      <c r="V25" s="42">
        <f>_xlfn.XLOOKUP(Baukon[[#This Row],[LCA Datensatz]],LeitRess_Materialien[Material_UUID],LeitRess_Materialien[Rohdichte_'[kg/m3']])</f>
        <v>2360</v>
      </c>
      <c r="W25" s="42">
        <f>_xlfn.XLOOKUP(Baukon[[#This Row],[LCA Datensatz]],LeitRess_Materialien[Material_UUID],LeitRess_Materialien[Flächengewicht_'[kg/m2']])</f>
        <v>0</v>
      </c>
      <c r="X25" s="104">
        <f>_xlfn.XLOOKUP(Baukon[[#This Row],[LCA Datensatz]],LeitRess_Materialien[Material_UUID],LeitRess_Materialien[Längengewicht_'[kg/m']])</f>
        <v>0</v>
      </c>
      <c r="Y25" s="104">
        <f>_xlfn.XLOOKUP(Baukon[[#This Row],[LCA Datensatz]],LeitRess_Materialien[Material_UUID],LeitRess_Materialien[lambda_'[W/mK']])</f>
        <v>1.4</v>
      </c>
      <c r="Z25" s="103">
        <f>IFERROR(Baukon[[#This Row],[Dicke '[mm'] Referenz]]/Baukon[[#This Row],[lambda_'[W/mK']]],"")</f>
        <v>35.714285714285715</v>
      </c>
      <c r="AA25" s="37">
        <f>_xlfn.XLOOKUP(Baukon[[#This Row],[LCA Datensatz]],LeitRess_Materialien[Material_UUID],LeitRess_Materialien[RMI '[kg Primärrohstoffe / kg']])*Baukon[[#This Row],[Masse '[kg/m²'] Referenz]]</f>
        <v>117.7747076304871</v>
      </c>
      <c r="AB25" s="37">
        <f>_xlfn.XLOOKUP(Baukon[[#This Row],[LCA Datensatz]],LeitRess_Materialien[Material_UUID],LeitRess_Materialien[RMI '[kg Primärrohstoffe / kg']])*Baukon[[#This Row],[Masse '[kg/m²'] min]]</f>
        <v>117.7747076304871</v>
      </c>
      <c r="AC25" s="37">
        <f>_xlfn.XLOOKUP(Baukon[[#This Row],[LCA Datensatz]],LeitRess_Materialien[Material_UUID],LeitRess_Materialien[RMI '[kg Primärrohstoffe / kg']])*Baukon[[#This Row],[Masse '[kg/m²'] max]]</f>
        <v>117.7747076304871</v>
      </c>
      <c r="AD25" s="37">
        <f>_xlfn.XLOOKUP(Baukon[[#This Row],[LCA Datensatz]],LeitRess_Materialien[Material_UUID],LeitRess_Materialien[TMR '[kg Gesamtmaterialaufwand/kg']])*Baukon[[#This Row],[Masse '[kg/m²'] Referenz]]</f>
        <v>122.11724076140833</v>
      </c>
      <c r="AE25" s="37">
        <f>_xlfn.XLOOKUP(Baukon[[#This Row],[LCA Datensatz]],LeitRess_Materialien[Material_UUID],LeitRess_Materialien[TMR '[kg Gesamtmaterialaufwand/kg']])*Baukon[[#This Row],[Masse '[kg/m²'] min]]</f>
        <v>122.11724076140833</v>
      </c>
      <c r="AF25" s="37">
        <f>_xlfn.XLOOKUP(Baukon[[#This Row],[LCA Datensatz]],LeitRess_Materialien[Material_UUID],LeitRess_Materialien[TMR '[kg Gesamtmaterialaufwand/kg']])*Baukon[[#This Row],[Masse '[kg/m²'] max]]</f>
        <v>122.11724076140833</v>
      </c>
      <c r="AG25" s="37">
        <f>_xlfn.XLOOKUP(Baukon[[#This Row],[LCA Datensatz]],LeitRess_Materialien[Material_UUID],LeitRess_Materialien[GWP '[kg CO2-Äqu./kg']])*Baukon[[#This Row],[Masse '[kg/m²'] Referenz]]</f>
        <v>9.9692403987468108</v>
      </c>
      <c r="AH25" s="37">
        <f>_xlfn.XLOOKUP(Baukon[[#This Row],[LCA Datensatz]],LeitRess_Materialien[Material_UUID],LeitRess_Materialien[GWP '[kg CO2-Äqu./kg']])*Baukon[[#This Row],[Masse '[kg/m²'] min]]</f>
        <v>9.9692403987468108</v>
      </c>
      <c r="AI25" s="37">
        <f>_xlfn.XLOOKUP(Baukon[[#This Row],[LCA Datensatz]],LeitRess_Materialien[Material_UUID],LeitRess_Materialien[GWP '[kg CO2-Äqu./kg']])*Baukon[[#This Row],[Masse '[kg/m²'] max]]</f>
        <v>9.9692403987468108</v>
      </c>
      <c r="AJ25" s="37">
        <f>_xlfn.XLOOKUP(Baukon[[#This Row],[LCA Datensatz]],LeitRess_Materialien[Material_UUID],LeitRess_Materialien[PENRT '[MJ/kg']])*Baukon[[#This Row],[Masse '[kg/m²'] Referenz]]</f>
        <v>78.09993506093781</v>
      </c>
      <c r="AK25" s="37">
        <f>_xlfn.XLOOKUP(Baukon[[#This Row],[LCA Datensatz]],LeitRess_Materialien[Material_UUID],LeitRess_Materialien[PENRT '[MJ/kg']])*Baukon[[#This Row],[Masse '[kg/m²'] min]]</f>
        <v>78.09993506093781</v>
      </c>
      <c r="AL25" s="37">
        <f>_xlfn.XLOOKUP(Baukon[[#This Row],[LCA Datensatz]],LeitRess_Materialien[Material_UUID],LeitRess_Materialien[PENRT '[MJ/kg']])*Baukon[[#This Row],[Masse '[kg/m²'] max]]</f>
        <v>78.09993506093781</v>
      </c>
      <c r="AM25" s="37" t="e">
        <f>_xlfn.XLOOKUP(Baukon[[#This Row],[LCA Datensatz]],LeitRess_Materialien[Material_UUID],#REF!)*Baukon[[#This Row],[Masse '[kg/m²'] Referenz]]</f>
        <v>#REF!</v>
      </c>
      <c r="AN25" s="37" t="e">
        <f>_xlfn.XLOOKUP(Baukon[[#This Row],[LCA Datensatz]],LeitRess_Materialien[Material_UUID],#REF!)*Baukon[[#This Row],[Masse '[kg/m²'] min]]</f>
        <v>#REF!</v>
      </c>
      <c r="AO25" s="37" t="e">
        <f>_xlfn.XLOOKUP(Baukon[[#This Row],[LCA Datensatz]],LeitRess_Materialien[Material_UUID],#REF!)*Baukon[[#This Row],[Masse '[kg/m²'] max]]</f>
        <v>#REF!</v>
      </c>
      <c r="AP25" s="37">
        <f>_xlfn.XLOOKUP(Baukon[[#This Row],[LCA Datensatz]],LeitRess_Materialien[Material_UUID],LeitRess_Materialien[WDP '[m³ weighted water/kg']])*Baukon[[#This Row],[Masse '[kg/m²'] Referenz]]</f>
        <v>4.9409832398411284</v>
      </c>
      <c r="AQ25" s="37">
        <f>_xlfn.XLOOKUP(Baukon[[#This Row],[LCA Datensatz]],LeitRess_Materialien[Material_UUID],LeitRess_Materialien[WDP '[m³ weighted water/kg']])*Baukon[[#This Row],[Masse '[kg/m²'] min]]</f>
        <v>4.9409832398411284</v>
      </c>
      <c r="AR25" s="37">
        <f>_xlfn.XLOOKUP(Baukon[[#This Row],[LCA Datensatz]],LeitRess_Materialien[Material_UUID],LeitRess_Materialien[WDP '[m³ weighted water/kg']])*Baukon[[#This Row],[Masse '[kg/m²'] max]]</f>
        <v>4.9409832398411284</v>
      </c>
      <c r="AS25" s="39">
        <f>Baukon[[#This Row],[GWP '[kg CO2-Äqu./m²'] Referenz]]/'Ausgabe Tabellen'!$C$21+Baukon[[#This Row],[PENRT '[MJ/m²'] Referenz]]/'Ausgabe Tabellen'!$C$22+Baukon[[#This Row],[RMI '[kg Primärrohstoffe/m²'] Referenz]]/'Ausgabe Tabellen'!$C$23+Baukon[[#This Row],[WDP '[m² weighted water/m²'] Referenz]]/'Ausgabe Tabellen'!$C$24</f>
        <v>5.1277125486838444E-3</v>
      </c>
      <c r="AT25" s="39">
        <f>Baukon[[#This Row],[GWP '[kg CO2-Äqu./m²'] min]]/'Ausgabe Tabellen'!$C$21+Baukon[[#This Row],[PENRT '[MJ/m²'] min]]/'Ausgabe Tabellen'!$C$22+Baukon[[#This Row],[RMI '[kg Primärrohstoffe/m²'] min]]/'Ausgabe Tabellen'!$C$23+Baukon[[#This Row],[WDP '[m² weighted water/m²'] min]]/'Ausgabe Tabellen'!$C$24</f>
        <v>5.1277125486838444E-3</v>
      </c>
      <c r="AU25" s="39">
        <f>Baukon[[#This Row],[GWP '[kg CO2-Äqu./m²'] max]]/'Ausgabe Tabellen'!$C$21+Baukon[[#This Row],[PENRT '[MJ/m²'] max]]/'Ausgabe Tabellen'!$C$22+Baukon[[#This Row],[RMI '[kg Primärrohstoffe/m²'] max]]/'Ausgabe Tabellen'!$C$23+Baukon[[#This Row],[WDP '[m² weighted water/m²'] max]]/'Ausgabe Tabellen'!$C$24</f>
        <v>5.1277125486838444E-3</v>
      </c>
    </row>
    <row r="26" spans="1:47" s="24" customFormat="1" ht="15.75" x14ac:dyDescent="0.5">
      <c r="A26" s="36" t="s">
        <v>53</v>
      </c>
      <c r="B26" s="36" t="s">
        <v>306</v>
      </c>
      <c r="C26" s="36">
        <v>1</v>
      </c>
      <c r="D26" s="36" t="s">
        <v>303</v>
      </c>
      <c r="E26" s="36" t="str">
        <f>Baukon[[#This Row],[Variante Nummer]]&amp;". "&amp;Baukon[[#This Row],[Name Baukonstruktion]]&amp;" | " &amp;Baukon[[#This Row],[Variante Name]]</f>
        <v>1. Stahlbeton-Bodenplatte | Referenz XPS</v>
      </c>
      <c r="F26" s="36" t="s">
        <v>317</v>
      </c>
      <c r="G26" s="36" t="s">
        <v>282</v>
      </c>
      <c r="H26" s="36" t="s">
        <v>225</v>
      </c>
      <c r="I26" s="41" t="s">
        <v>368</v>
      </c>
      <c r="J26" s="36" t="str">
        <f>IF(Baukon[[#This Row],[Material ist Dämmstoff?]]="ja",Baukon[[#This Row],[Dicke '[mm'] Referenz]]+_xlfn.XLOOKUP(RIGHT(Baukon[[#Headers],[Dicke '[mm'] min]],3),Dämmstoffvarianten[Variante],Dämmstoffvarianten[Differenz Dämmstoffedicke zu Referenz '[mm']]),Baukon[[#This Row],[Dicke '[mm'] Referenz]])</f>
        <v>0,2</v>
      </c>
      <c r="K26" s="36" t="str">
        <f>IF(Baukon[[#This Row],[Material ist Dämmstoff?]]="ja",Baukon[[#This Row],[Dicke '[mm'] Referenz]]+_xlfn.XLOOKUP(RIGHT(Baukon[[#Headers],[Dicke '[mm'] max]],3),Dämmstoffvarianten[Variante],Dämmstoffvarianten[Differenz Dämmstoffedicke zu Referenz '[mm']]),Baukon[[#This Row],[Dicke '[mm'] Referenz]])</f>
        <v>0,2</v>
      </c>
      <c r="L26" s="43">
        <v>1</v>
      </c>
      <c r="M26" s="41"/>
      <c r="N26" s="103">
        <f>IFERROR(Baukon[[#This Row],[Dicke '[mm'] Referenz]]/1000*Baukon[[#This Row],[Flächenanteil '[%']]],"")</f>
        <v>2.0000000000000001E-4</v>
      </c>
      <c r="O26" s="103">
        <f>IFERROR(Baukon[[#This Row],[Dicke '[mm'] min]]/1000*Baukon[[#This Row],[Flächenanteil '[%']]],"")</f>
        <v>2.0000000000000001E-4</v>
      </c>
      <c r="P26" s="103">
        <f>IFERROR(Baukon[[#This Row],[Dicke '[mm'] max]]/1000*Baukon[[#This Row],[Flächenanteil '[%']]],"")</f>
        <v>2.0000000000000001E-4</v>
      </c>
      <c r="Q26"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0.27800000000000002</v>
      </c>
      <c r="R26"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0.27800000000000002</v>
      </c>
      <c r="S26"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0.27800000000000002</v>
      </c>
      <c r="T26" s="42" t="s">
        <v>226</v>
      </c>
      <c r="U26" s="103" t="str">
        <f>_xlfn.XLOOKUP(Baukon[[#This Row],[Material]],LeitRess_Materialien[Name],LeitRess_Materialien[Material_UUID])</f>
        <v>99792cbc-c5f4-4d2d-bc9e-3790509891a0</v>
      </c>
      <c r="V26" s="42">
        <f>_xlfn.XLOOKUP(Baukon[[#This Row],[LCA Datensatz]],LeitRess_Materialien[Material_UUID],LeitRess_Materialien[Rohdichte_'[kg/m3']])</f>
        <v>1390</v>
      </c>
      <c r="W26" s="42">
        <f>_xlfn.XLOOKUP(Baukon[[#This Row],[LCA Datensatz]],LeitRess_Materialien[Material_UUID],LeitRess_Materialien[Flächengewicht_'[kg/m2']])</f>
        <v>0.2</v>
      </c>
      <c r="X26" s="104">
        <f>_xlfn.XLOOKUP(Baukon[[#This Row],[LCA Datensatz]],LeitRess_Materialien[Material_UUID],LeitRess_Materialien[Längengewicht_'[kg/m']])</f>
        <v>0</v>
      </c>
      <c r="Y26" s="104">
        <f>_xlfn.XLOOKUP(Baukon[[#This Row],[LCA Datensatz]],LeitRess_Materialien[Material_UUID],LeitRess_Materialien[lambda_'[W/mK']])</f>
        <v>0.17</v>
      </c>
      <c r="Z26" s="103">
        <f>IFERROR(Baukon[[#This Row],[Dicke '[mm'] Referenz]]/Baukon[[#This Row],[lambda_'[W/mK']]],"")</f>
        <v>1.1764705882352942</v>
      </c>
      <c r="AA26" s="37">
        <f>_xlfn.XLOOKUP(Baukon[[#This Row],[LCA Datensatz]],LeitRess_Materialien[Material_UUID],LeitRess_Materialien[RMI '[kg Primärrohstoffe / kg']])*Baukon[[#This Row],[Masse '[kg/m²'] Referenz]]</f>
        <v>0.56566490833487659</v>
      </c>
      <c r="AB26" s="37">
        <f>_xlfn.XLOOKUP(Baukon[[#This Row],[LCA Datensatz]],LeitRess_Materialien[Material_UUID],LeitRess_Materialien[RMI '[kg Primärrohstoffe / kg']])*Baukon[[#This Row],[Masse '[kg/m²'] min]]</f>
        <v>0.56566490833487659</v>
      </c>
      <c r="AC26" s="37">
        <f>_xlfn.XLOOKUP(Baukon[[#This Row],[LCA Datensatz]],LeitRess_Materialien[Material_UUID],LeitRess_Materialien[RMI '[kg Primärrohstoffe / kg']])*Baukon[[#This Row],[Masse '[kg/m²'] max]]</f>
        <v>0.56566490833487659</v>
      </c>
      <c r="AD26" s="37">
        <f>_xlfn.XLOOKUP(Baukon[[#This Row],[LCA Datensatz]],LeitRess_Materialien[Material_UUID],LeitRess_Materialien[TMR '[kg Gesamtmaterialaufwand/kg']])*Baukon[[#This Row],[Masse '[kg/m²'] Referenz]]</f>
        <v>0.70605426967153773</v>
      </c>
      <c r="AE26" s="37">
        <f>_xlfn.XLOOKUP(Baukon[[#This Row],[LCA Datensatz]],LeitRess_Materialien[Material_UUID],LeitRess_Materialien[TMR '[kg Gesamtmaterialaufwand/kg']])*Baukon[[#This Row],[Masse '[kg/m²'] min]]</f>
        <v>0.70605426967153773</v>
      </c>
      <c r="AF26" s="37">
        <f>_xlfn.XLOOKUP(Baukon[[#This Row],[LCA Datensatz]],LeitRess_Materialien[Material_UUID],LeitRess_Materialien[TMR '[kg Gesamtmaterialaufwand/kg']])*Baukon[[#This Row],[Masse '[kg/m²'] max]]</f>
        <v>0.70605426967153773</v>
      </c>
      <c r="AG26" s="37">
        <f>_xlfn.XLOOKUP(Baukon[[#This Row],[LCA Datensatz]],LeitRess_Materialien[Material_UUID],LeitRess_Materialien[GWP '[kg CO2-Äqu./kg']])*Baukon[[#This Row],[Masse '[kg/m²'] Referenz]]</f>
        <v>0.55327120946390662</v>
      </c>
      <c r="AH26" s="37">
        <f>_xlfn.XLOOKUP(Baukon[[#This Row],[LCA Datensatz]],LeitRess_Materialien[Material_UUID],LeitRess_Materialien[GWP '[kg CO2-Äqu./kg']])*Baukon[[#This Row],[Masse '[kg/m²'] min]]</f>
        <v>0.55327120946390662</v>
      </c>
      <c r="AI26" s="37">
        <f>_xlfn.XLOOKUP(Baukon[[#This Row],[LCA Datensatz]],LeitRess_Materialien[Material_UUID],LeitRess_Materialien[GWP '[kg CO2-Äqu./kg']])*Baukon[[#This Row],[Masse '[kg/m²'] max]]</f>
        <v>0.55327120946390662</v>
      </c>
      <c r="AJ26" s="37">
        <f>_xlfn.XLOOKUP(Baukon[[#This Row],[LCA Datensatz]],LeitRess_Materialien[Material_UUID],LeitRess_Materialien[PENRT '[MJ/kg']])*Baukon[[#This Row],[Masse '[kg/m²'] Referenz]]</f>
        <v>20.491472968565958</v>
      </c>
      <c r="AK26" s="37">
        <f>_xlfn.XLOOKUP(Baukon[[#This Row],[LCA Datensatz]],LeitRess_Materialien[Material_UUID],LeitRess_Materialien[PENRT '[MJ/kg']])*Baukon[[#This Row],[Masse '[kg/m²'] min]]</f>
        <v>20.491472968565958</v>
      </c>
      <c r="AL26" s="37">
        <f>_xlfn.XLOOKUP(Baukon[[#This Row],[LCA Datensatz]],LeitRess_Materialien[Material_UUID],LeitRess_Materialien[PENRT '[MJ/kg']])*Baukon[[#This Row],[Masse '[kg/m²'] max]]</f>
        <v>20.491472968565958</v>
      </c>
      <c r="AM26" s="37" t="e">
        <f>_xlfn.XLOOKUP(Baukon[[#This Row],[LCA Datensatz]],LeitRess_Materialien[Material_UUID],#REF!)*Baukon[[#This Row],[Masse '[kg/m²'] Referenz]]</f>
        <v>#REF!</v>
      </c>
      <c r="AN26" s="37" t="e">
        <f>_xlfn.XLOOKUP(Baukon[[#This Row],[LCA Datensatz]],LeitRess_Materialien[Material_UUID],#REF!)*Baukon[[#This Row],[Masse '[kg/m²'] min]]</f>
        <v>#REF!</v>
      </c>
      <c r="AO26" s="37" t="e">
        <f>_xlfn.XLOOKUP(Baukon[[#This Row],[LCA Datensatz]],LeitRess_Materialien[Material_UUID],#REF!)*Baukon[[#This Row],[Masse '[kg/m²'] max]]</f>
        <v>#REF!</v>
      </c>
      <c r="AP26" s="37">
        <f>_xlfn.XLOOKUP(Baukon[[#This Row],[LCA Datensatz]],LeitRess_Materialien[Material_UUID],LeitRess_Materialien[WDP '[m³ weighted water/kg']])*Baukon[[#This Row],[Masse '[kg/m²'] Referenz]]</f>
        <v>0.28989199614304856</v>
      </c>
      <c r="AQ26" s="37">
        <f>_xlfn.XLOOKUP(Baukon[[#This Row],[LCA Datensatz]],LeitRess_Materialien[Material_UUID],LeitRess_Materialien[WDP '[m³ weighted water/kg']])*Baukon[[#This Row],[Masse '[kg/m²'] min]]</f>
        <v>0.28989199614304856</v>
      </c>
      <c r="AR26" s="37">
        <f>_xlfn.XLOOKUP(Baukon[[#This Row],[LCA Datensatz]],LeitRess_Materialien[Material_UUID],LeitRess_Materialien[WDP '[m³ weighted water/kg']])*Baukon[[#This Row],[Masse '[kg/m²'] max]]</f>
        <v>0.28989199614304856</v>
      </c>
      <c r="AS26" s="39">
        <f>Baukon[[#This Row],[GWP '[kg CO2-Äqu./m²'] Referenz]]/'Ausgabe Tabellen'!$C$21+Baukon[[#This Row],[PENRT '[MJ/m²'] Referenz]]/'Ausgabe Tabellen'!$C$22+Baukon[[#This Row],[RMI '[kg Primärrohstoffe/m²'] Referenz]]/'Ausgabe Tabellen'!$C$23+Baukon[[#This Row],[WDP '[m² weighted water/m²'] Referenz]]/'Ausgabe Tabellen'!$C$24</f>
        <v>2.3771240070454252E-4</v>
      </c>
      <c r="AT26" s="39">
        <f>Baukon[[#This Row],[GWP '[kg CO2-Äqu./m²'] min]]/'Ausgabe Tabellen'!$C$21+Baukon[[#This Row],[PENRT '[MJ/m²'] min]]/'Ausgabe Tabellen'!$C$22+Baukon[[#This Row],[RMI '[kg Primärrohstoffe/m²'] min]]/'Ausgabe Tabellen'!$C$23+Baukon[[#This Row],[WDP '[m² weighted water/m²'] min]]/'Ausgabe Tabellen'!$C$24</f>
        <v>2.3771240070454252E-4</v>
      </c>
      <c r="AU26" s="39">
        <f>Baukon[[#This Row],[GWP '[kg CO2-Äqu./m²'] max]]/'Ausgabe Tabellen'!$C$21+Baukon[[#This Row],[PENRT '[MJ/m²'] max]]/'Ausgabe Tabellen'!$C$22+Baukon[[#This Row],[RMI '[kg Primärrohstoffe/m²'] max]]/'Ausgabe Tabellen'!$C$23+Baukon[[#This Row],[WDP '[m² weighted water/m²'] max]]/'Ausgabe Tabellen'!$C$24</f>
        <v>2.3771240070454252E-4</v>
      </c>
    </row>
    <row r="27" spans="1:47" s="24" customFormat="1" ht="15.75" x14ac:dyDescent="0.5">
      <c r="A27" s="36" t="s">
        <v>53</v>
      </c>
      <c r="B27" s="36" t="s">
        <v>306</v>
      </c>
      <c r="C27" s="36">
        <v>1</v>
      </c>
      <c r="D27" s="36" t="s">
        <v>303</v>
      </c>
      <c r="E27" s="36" t="str">
        <f>Baukon[[#This Row],[Variante Nummer]]&amp;". "&amp;Baukon[[#This Row],[Name Baukonstruktion]]&amp;" | " &amp;Baukon[[#This Row],[Variante Name]]</f>
        <v>1. Stahlbeton-Bodenplatte | Referenz XPS</v>
      </c>
      <c r="F27" s="36" t="s">
        <v>320</v>
      </c>
      <c r="G27" s="36" t="s">
        <v>270</v>
      </c>
      <c r="H27" s="36" t="s">
        <v>228</v>
      </c>
      <c r="I27" s="41">
        <v>120</v>
      </c>
      <c r="J27" s="36">
        <f>IF(Baukon[[#This Row],[Material ist Dämmstoff?]]="ja",Baukon[[#This Row],[Dicke '[mm'] Referenz]]+_xlfn.XLOOKUP(RIGHT(Baukon[[#Headers],[Dicke '[mm'] min]],3),Dämmstoffvarianten[Variante],Dämmstoffvarianten[Differenz Dämmstoffedicke zu Referenz '[mm']]),Baukon[[#This Row],[Dicke '[mm'] Referenz]])</f>
        <v>80</v>
      </c>
      <c r="K27" s="36">
        <f>IF(Baukon[[#This Row],[Material ist Dämmstoff?]]="ja",Baukon[[#This Row],[Dicke '[mm'] Referenz]]+_xlfn.XLOOKUP(RIGHT(Baukon[[#Headers],[Dicke '[mm'] max]],3),Dämmstoffvarianten[Variante],Dämmstoffvarianten[Differenz Dämmstoffedicke zu Referenz '[mm']]),Baukon[[#This Row],[Dicke '[mm'] Referenz]])</f>
        <v>200</v>
      </c>
      <c r="L27" s="43">
        <v>1</v>
      </c>
      <c r="M27" s="41"/>
      <c r="N27" s="103">
        <f>IFERROR(Baukon[[#This Row],[Dicke '[mm'] Referenz]]/1000*Baukon[[#This Row],[Flächenanteil '[%']]],"")</f>
        <v>0.12</v>
      </c>
      <c r="O27" s="103">
        <f>IFERROR(Baukon[[#This Row],[Dicke '[mm'] min]]/1000*Baukon[[#This Row],[Flächenanteil '[%']]],"")</f>
        <v>0.08</v>
      </c>
      <c r="P27" s="103">
        <f>IFERROR(Baukon[[#This Row],[Dicke '[mm'] max]]/1000*Baukon[[#This Row],[Flächenanteil '[%']]],"")</f>
        <v>0.2</v>
      </c>
      <c r="Q27"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3.84</v>
      </c>
      <c r="R27"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2.56</v>
      </c>
      <c r="S27"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6.4</v>
      </c>
      <c r="T27" s="42" t="s">
        <v>226</v>
      </c>
      <c r="U27" s="103" t="str">
        <f>_xlfn.XLOOKUP(Baukon[[#This Row],[Material]],LeitRess_Materialien[Name],LeitRess_Materialien[Material_UUID])</f>
        <v>43e99b8c-90d8-4fcd-90ce-342fb0b7366e</v>
      </c>
      <c r="V27" s="42">
        <f>_xlfn.XLOOKUP(Baukon[[#This Row],[LCA Datensatz]],LeitRess_Materialien[Material_UUID],LeitRess_Materialien[Rohdichte_'[kg/m3']])</f>
        <v>32</v>
      </c>
      <c r="W27" s="42">
        <f>_xlfn.XLOOKUP(Baukon[[#This Row],[LCA Datensatz]],LeitRess_Materialien[Material_UUID],LeitRess_Materialien[Flächengewicht_'[kg/m2']])</f>
        <v>0</v>
      </c>
      <c r="X27" s="104">
        <f>_xlfn.XLOOKUP(Baukon[[#This Row],[LCA Datensatz]],LeitRess_Materialien[Material_UUID],LeitRess_Materialien[Längengewicht_'[kg/m']])</f>
        <v>0</v>
      </c>
      <c r="Y27" s="104">
        <f>_xlfn.XLOOKUP(Baukon[[#This Row],[LCA Datensatz]],LeitRess_Materialien[Material_UUID],LeitRess_Materialien[lambda_'[W/mK']])</f>
        <v>3.6999999999999998E-2</v>
      </c>
      <c r="Z27" s="103">
        <f>IFERROR(Baukon[[#This Row],[Dicke '[mm'] Referenz]]/Baukon[[#This Row],[lambda_'[W/mK']]],"")</f>
        <v>3243.2432432432433</v>
      </c>
      <c r="AA27" s="37">
        <f>_xlfn.XLOOKUP(Baukon[[#This Row],[LCA Datensatz]],LeitRess_Materialien[Material_UUID],LeitRess_Materialien[RMI '[kg Primärrohstoffe / kg']])*Baukon[[#This Row],[Masse '[kg/m²'] Referenz]]</f>
        <v>10.213343560521063</v>
      </c>
      <c r="AB27" s="37">
        <f>_xlfn.XLOOKUP(Baukon[[#This Row],[LCA Datensatz]],LeitRess_Materialien[Material_UUID],LeitRess_Materialien[RMI '[kg Primärrohstoffe / kg']])*Baukon[[#This Row],[Masse '[kg/m²'] min]]</f>
        <v>6.8088957070140417</v>
      </c>
      <c r="AC27" s="37">
        <f>_xlfn.XLOOKUP(Baukon[[#This Row],[LCA Datensatz]],LeitRess_Materialien[Material_UUID],LeitRess_Materialien[RMI '[kg Primärrohstoffe / kg']])*Baukon[[#This Row],[Masse '[kg/m²'] max]]</f>
        <v>17.022239267535106</v>
      </c>
      <c r="AD27" s="37">
        <f>_xlfn.XLOOKUP(Baukon[[#This Row],[LCA Datensatz]],LeitRess_Materialien[Material_UUID],LeitRess_Materialien[TMR '[kg Gesamtmaterialaufwand/kg']])*Baukon[[#This Row],[Masse '[kg/m²'] Referenz]]</f>
        <v>12.591251360869862</v>
      </c>
      <c r="AE27" s="37">
        <f>_xlfn.XLOOKUP(Baukon[[#This Row],[LCA Datensatz]],LeitRess_Materialien[Material_UUID],LeitRess_Materialien[TMR '[kg Gesamtmaterialaufwand/kg']])*Baukon[[#This Row],[Masse '[kg/m²'] min]]</f>
        <v>8.3941675739132418</v>
      </c>
      <c r="AF27" s="37">
        <f>_xlfn.XLOOKUP(Baukon[[#This Row],[LCA Datensatz]],LeitRess_Materialien[Material_UUID],LeitRess_Materialien[TMR '[kg Gesamtmaterialaufwand/kg']])*Baukon[[#This Row],[Masse '[kg/m²'] max]]</f>
        <v>20.985418934783105</v>
      </c>
      <c r="AG27" s="37">
        <f>_xlfn.XLOOKUP(Baukon[[#This Row],[LCA Datensatz]],LeitRess_Materialien[Material_UUID],LeitRess_Materialien[GWP '[kg CO2-Äqu./kg']])*Baukon[[#This Row],[Masse '[kg/m²'] Referenz]]</f>
        <v>15.63328121055479</v>
      </c>
      <c r="AH27" s="37">
        <f>_xlfn.XLOOKUP(Baukon[[#This Row],[LCA Datensatz]],LeitRess_Materialien[Material_UUID],LeitRess_Materialien[GWP '[kg CO2-Äqu./kg']])*Baukon[[#This Row],[Masse '[kg/m²'] min]]</f>
        <v>10.422187473703193</v>
      </c>
      <c r="AI27" s="37">
        <f>_xlfn.XLOOKUP(Baukon[[#This Row],[LCA Datensatz]],LeitRess_Materialien[Material_UUID],LeitRess_Materialien[GWP '[kg CO2-Äqu./kg']])*Baukon[[#This Row],[Masse '[kg/m²'] max]]</f>
        <v>26.055468684257985</v>
      </c>
      <c r="AJ27" s="37">
        <f>_xlfn.XLOOKUP(Baukon[[#This Row],[LCA Datensatz]],LeitRess_Materialien[Material_UUID],LeitRess_Materialien[PENRT '[MJ/kg']])*Baukon[[#This Row],[Masse '[kg/m²'] Referenz]]</f>
        <v>362.28741817283174</v>
      </c>
      <c r="AK27" s="37">
        <f>_xlfn.XLOOKUP(Baukon[[#This Row],[LCA Datensatz]],LeitRess_Materialien[Material_UUID],LeitRess_Materialien[PENRT '[MJ/kg']])*Baukon[[#This Row],[Masse '[kg/m²'] min]]</f>
        <v>241.52494544855449</v>
      </c>
      <c r="AL27" s="37">
        <f>_xlfn.XLOOKUP(Baukon[[#This Row],[LCA Datensatz]],LeitRess_Materialien[Material_UUID],LeitRess_Materialien[PENRT '[MJ/kg']])*Baukon[[#This Row],[Masse '[kg/m²'] max]]</f>
        <v>603.81236362138623</v>
      </c>
      <c r="AM27" s="37" t="e">
        <f>_xlfn.XLOOKUP(Baukon[[#This Row],[LCA Datensatz]],LeitRess_Materialien[Material_UUID],#REF!)*Baukon[[#This Row],[Masse '[kg/m²'] Referenz]]</f>
        <v>#REF!</v>
      </c>
      <c r="AN27" s="37" t="e">
        <f>_xlfn.XLOOKUP(Baukon[[#This Row],[LCA Datensatz]],LeitRess_Materialien[Material_UUID],#REF!)*Baukon[[#This Row],[Masse '[kg/m²'] min]]</f>
        <v>#REF!</v>
      </c>
      <c r="AO27" s="37" t="e">
        <f>_xlfn.XLOOKUP(Baukon[[#This Row],[LCA Datensatz]],LeitRess_Materialien[Material_UUID],#REF!)*Baukon[[#This Row],[Masse '[kg/m²'] max]]</f>
        <v>#REF!</v>
      </c>
      <c r="AP27" s="37">
        <f>_xlfn.XLOOKUP(Baukon[[#This Row],[LCA Datensatz]],LeitRess_Materialien[Material_UUID],LeitRess_Materialien[WDP '[m³ weighted water/kg']])*Baukon[[#This Row],[Masse '[kg/m²'] Referenz]]</f>
        <v>12.634295020674815</v>
      </c>
      <c r="AQ27" s="37">
        <f>_xlfn.XLOOKUP(Baukon[[#This Row],[LCA Datensatz]],LeitRess_Materialien[Material_UUID],LeitRess_Materialien[WDP '[m³ weighted water/kg']])*Baukon[[#This Row],[Masse '[kg/m²'] min]]</f>
        <v>8.4228633471165431</v>
      </c>
      <c r="AR27" s="37">
        <f>_xlfn.XLOOKUP(Baukon[[#This Row],[LCA Datensatz]],LeitRess_Materialien[Material_UUID],LeitRess_Materialien[WDP '[m³ weighted water/kg']])*Baukon[[#This Row],[Masse '[kg/m²'] max]]</f>
        <v>21.057158367791359</v>
      </c>
      <c r="AS27" s="39">
        <f>Baukon[[#This Row],[GWP '[kg CO2-Äqu./m²'] Referenz]]/'Ausgabe Tabellen'!$C$21+Baukon[[#This Row],[PENRT '[MJ/m²'] Referenz]]/'Ausgabe Tabellen'!$C$22+Baukon[[#This Row],[RMI '[kg Primärrohstoffe/m²'] Referenz]]/'Ausgabe Tabellen'!$C$23+Baukon[[#This Row],[WDP '[m² weighted water/m²'] Referenz]]/'Ausgabe Tabellen'!$C$24</f>
        <v>5.4050244067576168E-3</v>
      </c>
      <c r="AT27" s="39">
        <f>Baukon[[#This Row],[GWP '[kg CO2-Äqu./m²'] min]]/'Ausgabe Tabellen'!$C$21+Baukon[[#This Row],[PENRT '[MJ/m²'] min]]/'Ausgabe Tabellen'!$C$22+Baukon[[#This Row],[RMI '[kg Primärrohstoffe/m²'] min]]/'Ausgabe Tabellen'!$C$23+Baukon[[#This Row],[WDP '[m² weighted water/m²'] min]]/'Ausgabe Tabellen'!$C$24</f>
        <v>3.6033496045050784E-3</v>
      </c>
      <c r="AU27" s="39">
        <f>Baukon[[#This Row],[GWP '[kg CO2-Äqu./m²'] max]]/'Ausgabe Tabellen'!$C$21+Baukon[[#This Row],[PENRT '[MJ/m²'] max]]/'Ausgabe Tabellen'!$C$22+Baukon[[#This Row],[RMI '[kg Primärrohstoffe/m²'] max]]/'Ausgabe Tabellen'!$C$23+Baukon[[#This Row],[WDP '[m² weighted water/m²'] max]]/'Ausgabe Tabellen'!$C$24</f>
        <v>9.0083740112626952E-3</v>
      </c>
    </row>
    <row r="28" spans="1:47" s="24" customFormat="1" ht="15.75" x14ac:dyDescent="0.5">
      <c r="A28" s="36" t="s">
        <v>53</v>
      </c>
      <c r="B28" s="36" t="s">
        <v>306</v>
      </c>
      <c r="C28" s="36">
        <v>1</v>
      </c>
      <c r="D28" s="36" t="s">
        <v>303</v>
      </c>
      <c r="E28" s="36" t="str">
        <f>Baukon[[#This Row],[Variante Nummer]]&amp;". "&amp;Baukon[[#This Row],[Name Baukonstruktion]]&amp;" | " &amp;Baukon[[#This Row],[Variante Name]]</f>
        <v>1. Stahlbeton-Bodenplatte | Referenz XPS</v>
      </c>
      <c r="F28" s="36" t="s">
        <v>307</v>
      </c>
      <c r="G28" s="36" t="s">
        <v>224</v>
      </c>
      <c r="H28" s="36" t="s">
        <v>225</v>
      </c>
      <c r="I28" s="41">
        <v>400</v>
      </c>
      <c r="J28" s="36">
        <f>IF(Baukon[[#This Row],[Material ist Dämmstoff?]]="ja",Baukon[[#This Row],[Dicke '[mm'] Referenz]]+_xlfn.XLOOKUP(RIGHT(Baukon[[#Headers],[Dicke '[mm'] min]],3),Dämmstoffvarianten[Variante],Dämmstoffvarianten[Differenz Dämmstoffedicke zu Referenz '[mm']]),Baukon[[#This Row],[Dicke '[mm'] Referenz]])</f>
        <v>400</v>
      </c>
      <c r="K28" s="36">
        <f>IF(Baukon[[#This Row],[Material ist Dämmstoff?]]="ja",Baukon[[#This Row],[Dicke '[mm'] Referenz]]+_xlfn.XLOOKUP(RIGHT(Baukon[[#Headers],[Dicke '[mm'] max]],3),Dämmstoffvarianten[Variante],Dämmstoffvarianten[Differenz Dämmstoffedicke zu Referenz '[mm']]),Baukon[[#This Row],[Dicke '[mm'] Referenz]])</f>
        <v>400</v>
      </c>
      <c r="L28" s="43">
        <f>1-MHH9</f>
        <v>1</v>
      </c>
      <c r="M28" s="41"/>
      <c r="N28" s="103">
        <f>IFERROR(Baukon[[#This Row],[Dicke '[mm'] Referenz]]/1000*Baukon[[#This Row],[Flächenanteil '[%']]],"")</f>
        <v>0.4</v>
      </c>
      <c r="O28" s="103">
        <f>IFERROR(Baukon[[#This Row],[Dicke '[mm'] min]]/1000*Baukon[[#This Row],[Flächenanteil '[%']]],"")</f>
        <v>0.4</v>
      </c>
      <c r="P28" s="103">
        <f>IFERROR(Baukon[[#This Row],[Dicke '[mm'] max]]/1000*Baukon[[#This Row],[Flächenanteil '[%']]],"")</f>
        <v>0.4</v>
      </c>
      <c r="Q28"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944</v>
      </c>
      <c r="R28"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944</v>
      </c>
      <c r="S28"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944</v>
      </c>
      <c r="T28" s="42" t="s">
        <v>226</v>
      </c>
      <c r="U28" s="103" t="str">
        <f>_xlfn.XLOOKUP(Baukon[[#This Row],[Material]],LeitRess_Materialien[Name],LeitRess_Materialien[Material_UUID])</f>
        <v>9702d9ab-2af2-4fdc-9d99-225583a9ffb7</v>
      </c>
      <c r="V28" s="42">
        <f>_xlfn.XLOOKUP(Baukon[[#This Row],[LCA Datensatz]],LeitRess_Materialien[Material_UUID],LeitRess_Materialien[Rohdichte_'[kg/m3']])</f>
        <v>2360</v>
      </c>
      <c r="W28" s="42">
        <f>_xlfn.XLOOKUP(Baukon[[#This Row],[LCA Datensatz]],LeitRess_Materialien[Material_UUID],LeitRess_Materialien[Flächengewicht_'[kg/m2']])</f>
        <v>0</v>
      </c>
      <c r="X28" s="104">
        <f>_xlfn.XLOOKUP(Baukon[[#This Row],[LCA Datensatz]],LeitRess_Materialien[Material_UUID],LeitRess_Materialien[Längengewicht_'[kg/m']])</f>
        <v>0</v>
      </c>
      <c r="Y28" s="104">
        <f>_xlfn.XLOOKUP(Baukon[[#This Row],[LCA Datensatz]],LeitRess_Materialien[Material_UUID],LeitRess_Materialien[lambda_'[W/mK']])</f>
        <v>1.4</v>
      </c>
      <c r="Z28" s="103">
        <f>IFERROR(Baukon[[#This Row],[Dicke '[mm'] Referenz]]/Baukon[[#This Row],[lambda_'[W/mK']]],"")</f>
        <v>285.71428571428572</v>
      </c>
      <c r="AA28" s="37">
        <f>_xlfn.XLOOKUP(Baukon[[#This Row],[LCA Datensatz]],LeitRess_Materialien[Material_UUID],LeitRess_Materialien[RMI '[kg Primärrohstoffe / kg']])*Baukon[[#This Row],[Masse '[kg/m²'] Referenz]]</f>
        <v>942.1976610438968</v>
      </c>
      <c r="AB28" s="37">
        <f>_xlfn.XLOOKUP(Baukon[[#This Row],[LCA Datensatz]],LeitRess_Materialien[Material_UUID],LeitRess_Materialien[RMI '[kg Primärrohstoffe / kg']])*Baukon[[#This Row],[Masse '[kg/m²'] min]]</f>
        <v>942.1976610438968</v>
      </c>
      <c r="AC28" s="37">
        <f>_xlfn.XLOOKUP(Baukon[[#This Row],[LCA Datensatz]],LeitRess_Materialien[Material_UUID],LeitRess_Materialien[RMI '[kg Primärrohstoffe / kg']])*Baukon[[#This Row],[Masse '[kg/m²'] max]]</f>
        <v>942.1976610438968</v>
      </c>
      <c r="AD28" s="37">
        <f>_xlfn.XLOOKUP(Baukon[[#This Row],[LCA Datensatz]],LeitRess_Materialien[Material_UUID],LeitRess_Materialien[TMR '[kg Gesamtmaterialaufwand/kg']])*Baukon[[#This Row],[Masse '[kg/m²'] Referenz]]</f>
        <v>976.9379260912666</v>
      </c>
      <c r="AE28" s="37">
        <f>_xlfn.XLOOKUP(Baukon[[#This Row],[LCA Datensatz]],LeitRess_Materialien[Material_UUID],LeitRess_Materialien[TMR '[kg Gesamtmaterialaufwand/kg']])*Baukon[[#This Row],[Masse '[kg/m²'] min]]</f>
        <v>976.9379260912666</v>
      </c>
      <c r="AF28" s="37">
        <f>_xlfn.XLOOKUP(Baukon[[#This Row],[LCA Datensatz]],LeitRess_Materialien[Material_UUID],LeitRess_Materialien[TMR '[kg Gesamtmaterialaufwand/kg']])*Baukon[[#This Row],[Masse '[kg/m²'] max]]</f>
        <v>976.9379260912666</v>
      </c>
      <c r="AG28" s="37">
        <f>_xlfn.XLOOKUP(Baukon[[#This Row],[LCA Datensatz]],LeitRess_Materialien[Material_UUID],LeitRess_Materialien[GWP '[kg CO2-Äqu./kg']])*Baukon[[#This Row],[Masse '[kg/m²'] Referenz]]</f>
        <v>79.753923189974486</v>
      </c>
      <c r="AH28" s="37">
        <f>_xlfn.XLOOKUP(Baukon[[#This Row],[LCA Datensatz]],LeitRess_Materialien[Material_UUID],LeitRess_Materialien[GWP '[kg CO2-Äqu./kg']])*Baukon[[#This Row],[Masse '[kg/m²'] min]]</f>
        <v>79.753923189974486</v>
      </c>
      <c r="AI28" s="37">
        <f>_xlfn.XLOOKUP(Baukon[[#This Row],[LCA Datensatz]],LeitRess_Materialien[Material_UUID],LeitRess_Materialien[GWP '[kg CO2-Äqu./kg']])*Baukon[[#This Row],[Masse '[kg/m²'] max]]</f>
        <v>79.753923189974486</v>
      </c>
      <c r="AJ28" s="37">
        <f>_xlfn.XLOOKUP(Baukon[[#This Row],[LCA Datensatz]],LeitRess_Materialien[Material_UUID],LeitRess_Materialien[PENRT '[MJ/kg']])*Baukon[[#This Row],[Masse '[kg/m²'] Referenz]]</f>
        <v>624.79948048750248</v>
      </c>
      <c r="AK28" s="37">
        <f>_xlfn.XLOOKUP(Baukon[[#This Row],[LCA Datensatz]],LeitRess_Materialien[Material_UUID],LeitRess_Materialien[PENRT '[MJ/kg']])*Baukon[[#This Row],[Masse '[kg/m²'] min]]</f>
        <v>624.79948048750248</v>
      </c>
      <c r="AL28" s="37">
        <f>_xlfn.XLOOKUP(Baukon[[#This Row],[LCA Datensatz]],LeitRess_Materialien[Material_UUID],LeitRess_Materialien[PENRT '[MJ/kg']])*Baukon[[#This Row],[Masse '[kg/m²'] max]]</f>
        <v>624.79948048750248</v>
      </c>
      <c r="AM28" s="37" t="e">
        <f>_xlfn.XLOOKUP(Baukon[[#This Row],[LCA Datensatz]],LeitRess_Materialien[Material_UUID],#REF!)*Baukon[[#This Row],[Masse '[kg/m²'] Referenz]]</f>
        <v>#REF!</v>
      </c>
      <c r="AN28" s="37" t="e">
        <f>_xlfn.XLOOKUP(Baukon[[#This Row],[LCA Datensatz]],LeitRess_Materialien[Material_UUID],#REF!)*Baukon[[#This Row],[Masse '[kg/m²'] min]]</f>
        <v>#REF!</v>
      </c>
      <c r="AO28" s="37" t="e">
        <f>_xlfn.XLOOKUP(Baukon[[#This Row],[LCA Datensatz]],LeitRess_Materialien[Material_UUID],#REF!)*Baukon[[#This Row],[Masse '[kg/m²'] max]]</f>
        <v>#REF!</v>
      </c>
      <c r="AP28" s="37">
        <f>_xlfn.XLOOKUP(Baukon[[#This Row],[LCA Datensatz]],LeitRess_Materialien[Material_UUID],LeitRess_Materialien[WDP '[m³ weighted water/kg']])*Baukon[[#This Row],[Masse '[kg/m²'] Referenz]]</f>
        <v>39.527865918729027</v>
      </c>
      <c r="AQ28" s="37">
        <f>_xlfn.XLOOKUP(Baukon[[#This Row],[LCA Datensatz]],LeitRess_Materialien[Material_UUID],LeitRess_Materialien[WDP '[m³ weighted water/kg']])*Baukon[[#This Row],[Masse '[kg/m²'] min]]</f>
        <v>39.527865918729027</v>
      </c>
      <c r="AR28" s="37">
        <f>_xlfn.XLOOKUP(Baukon[[#This Row],[LCA Datensatz]],LeitRess_Materialien[Material_UUID],LeitRess_Materialien[WDP '[m³ weighted water/kg']])*Baukon[[#This Row],[Masse '[kg/m²'] max]]</f>
        <v>39.527865918729027</v>
      </c>
      <c r="AS28" s="39">
        <f>Baukon[[#This Row],[GWP '[kg CO2-Äqu./m²'] Referenz]]/'Ausgabe Tabellen'!$C$21+Baukon[[#This Row],[PENRT '[MJ/m²'] Referenz]]/'Ausgabe Tabellen'!$C$22+Baukon[[#This Row],[RMI '[kg Primärrohstoffe/m²'] Referenz]]/'Ausgabe Tabellen'!$C$23+Baukon[[#This Row],[WDP '[m² weighted water/m²'] Referenz]]/'Ausgabe Tabellen'!$C$24</f>
        <v>4.1021700389470755E-2</v>
      </c>
      <c r="AT28" s="39">
        <f>Baukon[[#This Row],[GWP '[kg CO2-Äqu./m²'] min]]/'Ausgabe Tabellen'!$C$21+Baukon[[#This Row],[PENRT '[MJ/m²'] min]]/'Ausgabe Tabellen'!$C$22+Baukon[[#This Row],[RMI '[kg Primärrohstoffe/m²'] min]]/'Ausgabe Tabellen'!$C$23+Baukon[[#This Row],[WDP '[m² weighted water/m²'] min]]/'Ausgabe Tabellen'!$C$24</f>
        <v>4.1021700389470755E-2</v>
      </c>
      <c r="AU28" s="39">
        <f>Baukon[[#This Row],[GWP '[kg CO2-Äqu./m²'] max]]/'Ausgabe Tabellen'!$C$21+Baukon[[#This Row],[PENRT '[MJ/m²'] max]]/'Ausgabe Tabellen'!$C$22+Baukon[[#This Row],[RMI '[kg Primärrohstoffe/m²'] max]]/'Ausgabe Tabellen'!$C$23+Baukon[[#This Row],[WDP '[m² weighted water/m²'] max]]/'Ausgabe Tabellen'!$C$24</f>
        <v>4.1021700389470755E-2</v>
      </c>
    </row>
    <row r="29" spans="1:47" s="24" customFormat="1" ht="15.75" x14ac:dyDescent="0.5">
      <c r="A29" s="36" t="s">
        <v>53</v>
      </c>
      <c r="B29" s="36" t="s">
        <v>306</v>
      </c>
      <c r="C29" s="36">
        <v>1</v>
      </c>
      <c r="D29" s="36" t="s">
        <v>303</v>
      </c>
      <c r="E29" s="36" t="str">
        <f>Baukon[[#This Row],[Variante Nummer]]&amp;". "&amp;Baukon[[#This Row],[Name Baukonstruktion]]&amp;" | " &amp;Baukon[[#This Row],[Variante Name]]</f>
        <v>1. Stahlbeton-Bodenplatte | Referenz XPS</v>
      </c>
      <c r="F29" s="36" t="s">
        <v>322</v>
      </c>
      <c r="G29" s="36" t="s">
        <v>229</v>
      </c>
      <c r="H29" s="36" t="s">
        <v>225</v>
      </c>
      <c r="I29" s="41">
        <v>400</v>
      </c>
      <c r="J29" s="36">
        <f>IF(Baukon[[#This Row],[Material ist Dämmstoff?]]="ja",Baukon[[#This Row],[Dicke '[mm'] Referenz]]+_xlfn.XLOOKUP(RIGHT(Baukon[[#Headers],[Dicke '[mm'] min]],3),Dämmstoffvarianten[Variante],Dämmstoffvarianten[Differenz Dämmstoffedicke zu Referenz '[mm']]),Baukon[[#This Row],[Dicke '[mm'] Referenz]])</f>
        <v>400</v>
      </c>
      <c r="K29" s="36">
        <f>IF(Baukon[[#This Row],[Material ist Dämmstoff?]]="ja",Baukon[[#This Row],[Dicke '[mm'] Referenz]]+_xlfn.XLOOKUP(RIGHT(Baukon[[#Headers],[Dicke '[mm'] max]],3),Dämmstoffvarianten[Variante],Dämmstoffvarianten[Differenz Dämmstoffedicke zu Referenz '[mm']]),Baukon[[#This Row],[Dicke '[mm'] Referenz]])</f>
        <v>400</v>
      </c>
      <c r="L29" s="43">
        <f>45/7800</f>
        <v>5.7692307692307696E-3</v>
      </c>
      <c r="M29" s="41"/>
      <c r="N29" s="103">
        <f>IFERROR(Baukon[[#This Row],[Dicke '[mm'] Referenz]]/1000*Baukon[[#This Row],[Flächenanteil '[%']]],"")</f>
        <v>2.3076923076923079E-3</v>
      </c>
      <c r="O29" s="103">
        <f>IFERROR(Baukon[[#This Row],[Dicke '[mm'] min]]/1000*Baukon[[#This Row],[Flächenanteil '[%']]],"")</f>
        <v>2.3076923076923079E-3</v>
      </c>
      <c r="P29" s="103">
        <f>IFERROR(Baukon[[#This Row],[Dicke '[mm'] max]]/1000*Baukon[[#This Row],[Flächenanteil '[%']]],"")</f>
        <v>2.3076923076923079E-3</v>
      </c>
      <c r="Q29"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18.115384615384617</v>
      </c>
      <c r="R29"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18.115384615384617</v>
      </c>
      <c r="S29"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18.115384615384617</v>
      </c>
      <c r="T29" s="42" t="s">
        <v>441</v>
      </c>
      <c r="U29" s="103" t="str">
        <f>_xlfn.XLOOKUP(Baukon[[#This Row],[Material]],LeitRess_Materialien[Name],LeitRess_Materialien[Material_UUID])</f>
        <v>e9ae96ee-ba8d-420d-9725-7c8abd06e082</v>
      </c>
      <c r="V29" s="42">
        <f>_xlfn.XLOOKUP(Baukon[[#This Row],[LCA Datensatz]],LeitRess_Materialien[Material_UUID],LeitRess_Materialien[Rohdichte_'[kg/m3']])</f>
        <v>7850</v>
      </c>
      <c r="W29" s="42">
        <f>_xlfn.XLOOKUP(Baukon[[#This Row],[LCA Datensatz]],LeitRess_Materialien[Material_UUID],LeitRess_Materialien[Flächengewicht_'[kg/m2']])</f>
        <v>0</v>
      </c>
      <c r="X29" s="104">
        <f>_xlfn.XLOOKUP(Baukon[[#This Row],[LCA Datensatz]],LeitRess_Materialien[Material_UUID],LeitRess_Materialien[Längengewicht_'[kg/m']])</f>
        <v>0</v>
      </c>
      <c r="Y29" s="104">
        <f>_xlfn.XLOOKUP(Baukon[[#This Row],[LCA Datensatz]],LeitRess_Materialien[Material_UUID],LeitRess_Materialien[lambda_'[W/mK']])</f>
        <v>50</v>
      </c>
      <c r="Z29" s="103">
        <f>IFERROR(Baukon[[#This Row],[Dicke '[mm'] Referenz]]/Baukon[[#This Row],[lambda_'[W/mK']]],"")</f>
        <v>8</v>
      </c>
      <c r="AA29" s="37">
        <f>_xlfn.XLOOKUP(Baukon[[#This Row],[LCA Datensatz]],LeitRess_Materialien[Material_UUID],LeitRess_Materialien[RMI '[kg Primärrohstoffe / kg']])*Baukon[[#This Row],[Masse '[kg/m²'] Referenz]]</f>
        <v>94.753878319826995</v>
      </c>
      <c r="AB29" s="37">
        <f>_xlfn.XLOOKUP(Baukon[[#This Row],[LCA Datensatz]],LeitRess_Materialien[Material_UUID],LeitRess_Materialien[RMI '[kg Primärrohstoffe / kg']])*Baukon[[#This Row],[Masse '[kg/m²'] min]]</f>
        <v>94.753878319826995</v>
      </c>
      <c r="AC29" s="37">
        <f>_xlfn.XLOOKUP(Baukon[[#This Row],[LCA Datensatz]],LeitRess_Materialien[Material_UUID],LeitRess_Materialien[RMI '[kg Primärrohstoffe / kg']])*Baukon[[#This Row],[Masse '[kg/m²'] max]]</f>
        <v>94.753878319826995</v>
      </c>
      <c r="AD29" s="37">
        <f>_xlfn.XLOOKUP(Baukon[[#This Row],[LCA Datensatz]],LeitRess_Materialien[Material_UUID],LeitRess_Materialien[TMR '[kg Gesamtmaterialaufwand/kg']])*Baukon[[#This Row],[Masse '[kg/m²'] Referenz]]</f>
        <v>149.54526776437891</v>
      </c>
      <c r="AE29" s="37">
        <f>_xlfn.XLOOKUP(Baukon[[#This Row],[LCA Datensatz]],LeitRess_Materialien[Material_UUID],LeitRess_Materialien[TMR '[kg Gesamtmaterialaufwand/kg']])*Baukon[[#This Row],[Masse '[kg/m²'] min]]</f>
        <v>149.54526776437891</v>
      </c>
      <c r="AF29" s="37">
        <f>_xlfn.XLOOKUP(Baukon[[#This Row],[LCA Datensatz]],LeitRess_Materialien[Material_UUID],LeitRess_Materialien[TMR '[kg Gesamtmaterialaufwand/kg']])*Baukon[[#This Row],[Masse '[kg/m²'] max]]</f>
        <v>149.54526776437891</v>
      </c>
      <c r="AG29" s="37">
        <f>_xlfn.XLOOKUP(Baukon[[#This Row],[LCA Datensatz]],LeitRess_Materialien[Material_UUID],LeitRess_Materialien[GWP '[kg CO2-Äqu./kg']])*Baukon[[#This Row],[Masse '[kg/m²'] Referenz]]</f>
        <v>39.256645672482009</v>
      </c>
      <c r="AH29" s="37">
        <f>_xlfn.XLOOKUP(Baukon[[#This Row],[LCA Datensatz]],LeitRess_Materialien[Material_UUID],LeitRess_Materialien[GWP '[kg CO2-Äqu./kg']])*Baukon[[#This Row],[Masse '[kg/m²'] min]]</f>
        <v>39.256645672482009</v>
      </c>
      <c r="AI29" s="37">
        <f>_xlfn.XLOOKUP(Baukon[[#This Row],[LCA Datensatz]],LeitRess_Materialien[Material_UUID],LeitRess_Materialien[GWP '[kg CO2-Äqu./kg']])*Baukon[[#This Row],[Masse '[kg/m²'] max]]</f>
        <v>39.256645672482009</v>
      </c>
      <c r="AJ29" s="37">
        <f>_xlfn.XLOOKUP(Baukon[[#This Row],[LCA Datensatz]],LeitRess_Materialien[Material_UUID],LeitRess_Materialien[PENRT '[MJ/kg']])*Baukon[[#This Row],[Masse '[kg/m²'] Referenz]]</f>
        <v>553.59672865798018</v>
      </c>
      <c r="AK29" s="37">
        <f>_xlfn.XLOOKUP(Baukon[[#This Row],[LCA Datensatz]],LeitRess_Materialien[Material_UUID],LeitRess_Materialien[PENRT '[MJ/kg']])*Baukon[[#This Row],[Masse '[kg/m²'] min]]</f>
        <v>553.59672865798018</v>
      </c>
      <c r="AL29" s="37">
        <f>_xlfn.XLOOKUP(Baukon[[#This Row],[LCA Datensatz]],LeitRess_Materialien[Material_UUID],LeitRess_Materialien[PENRT '[MJ/kg']])*Baukon[[#This Row],[Masse '[kg/m²'] max]]</f>
        <v>553.59672865798018</v>
      </c>
      <c r="AM29" s="37" t="e">
        <f>_xlfn.XLOOKUP(Baukon[[#This Row],[LCA Datensatz]],LeitRess_Materialien[Material_UUID],#REF!)*Baukon[[#This Row],[Masse '[kg/m²'] Referenz]]</f>
        <v>#REF!</v>
      </c>
      <c r="AN29" s="37" t="e">
        <f>_xlfn.XLOOKUP(Baukon[[#This Row],[LCA Datensatz]],LeitRess_Materialien[Material_UUID],#REF!)*Baukon[[#This Row],[Masse '[kg/m²'] min]]</f>
        <v>#REF!</v>
      </c>
      <c r="AO29" s="37" t="e">
        <f>_xlfn.XLOOKUP(Baukon[[#This Row],[LCA Datensatz]],LeitRess_Materialien[Material_UUID],#REF!)*Baukon[[#This Row],[Masse '[kg/m²'] max]]</f>
        <v>#REF!</v>
      </c>
      <c r="AP29" s="37">
        <f>_xlfn.XLOOKUP(Baukon[[#This Row],[LCA Datensatz]],LeitRess_Materialien[Material_UUID],LeitRess_Materialien[WDP '[m³ weighted water/kg']])*Baukon[[#This Row],[Masse '[kg/m²'] Referenz]]</f>
        <v>16.557608956463486</v>
      </c>
      <c r="AQ29" s="37">
        <f>_xlfn.XLOOKUP(Baukon[[#This Row],[LCA Datensatz]],LeitRess_Materialien[Material_UUID],LeitRess_Materialien[WDP '[m³ weighted water/kg']])*Baukon[[#This Row],[Masse '[kg/m²'] min]]</f>
        <v>16.557608956463486</v>
      </c>
      <c r="AR29" s="37">
        <f>_xlfn.XLOOKUP(Baukon[[#This Row],[LCA Datensatz]],LeitRess_Materialien[Material_UUID],LeitRess_Materialien[WDP '[m³ weighted water/kg']])*Baukon[[#This Row],[Masse '[kg/m²'] max]]</f>
        <v>16.557608956463486</v>
      </c>
      <c r="AS29" s="39">
        <f>Baukon[[#This Row],[GWP '[kg CO2-Äqu./m²'] Referenz]]/'Ausgabe Tabellen'!$C$21+Baukon[[#This Row],[PENRT '[MJ/m²'] Referenz]]/'Ausgabe Tabellen'!$C$22+Baukon[[#This Row],[RMI '[kg Primärrohstoffe/m²'] Referenz]]/'Ausgabe Tabellen'!$C$23+Baukon[[#This Row],[WDP '[m² weighted water/m²'] Referenz]]/'Ausgabe Tabellen'!$C$24</f>
        <v>1.1581497655905205E-2</v>
      </c>
      <c r="AT29" s="39">
        <f>Baukon[[#This Row],[GWP '[kg CO2-Äqu./m²'] min]]/'Ausgabe Tabellen'!$C$21+Baukon[[#This Row],[PENRT '[MJ/m²'] min]]/'Ausgabe Tabellen'!$C$22+Baukon[[#This Row],[RMI '[kg Primärrohstoffe/m²'] min]]/'Ausgabe Tabellen'!$C$23+Baukon[[#This Row],[WDP '[m² weighted water/m²'] min]]/'Ausgabe Tabellen'!$C$24</f>
        <v>1.1581497655905205E-2</v>
      </c>
      <c r="AU29" s="39">
        <f>Baukon[[#This Row],[GWP '[kg CO2-Äqu./m²'] max]]/'Ausgabe Tabellen'!$C$21+Baukon[[#This Row],[PENRT '[MJ/m²'] max]]/'Ausgabe Tabellen'!$C$22+Baukon[[#This Row],[RMI '[kg Primärrohstoffe/m²'] max]]/'Ausgabe Tabellen'!$C$23+Baukon[[#This Row],[WDP '[m² weighted water/m²'] max]]/'Ausgabe Tabellen'!$C$24</f>
        <v>1.1581497655905205E-2</v>
      </c>
    </row>
    <row r="30" spans="1:47" s="24" customFormat="1" ht="15.75" x14ac:dyDescent="0.5">
      <c r="A30" s="36" t="s">
        <v>53</v>
      </c>
      <c r="B30" s="36" t="s">
        <v>306</v>
      </c>
      <c r="C30" s="36">
        <v>1</v>
      </c>
      <c r="D30" s="36" t="s">
        <v>303</v>
      </c>
      <c r="E30" s="36" t="str">
        <f>Baukon[[#This Row],[Variante Nummer]]&amp;". "&amp;Baukon[[#This Row],[Name Baukonstruktion]]&amp;" | " &amp;Baukon[[#This Row],[Variante Name]]</f>
        <v>1. Stahlbeton-Bodenplatte | Referenz XPS</v>
      </c>
      <c r="F30" s="36" t="s">
        <v>323</v>
      </c>
      <c r="G30" s="36" t="s">
        <v>279</v>
      </c>
      <c r="H30" s="36" t="s">
        <v>225</v>
      </c>
      <c r="I30" s="41" t="s">
        <v>497</v>
      </c>
      <c r="J30" s="36" t="str">
        <f>IF(Baukon[[#This Row],[Material ist Dämmstoff?]]="ja",Baukon[[#This Row],[Dicke '[mm'] Referenz]]+_xlfn.XLOOKUP(RIGHT(Baukon[[#Headers],[Dicke '[mm'] min]],3),Dämmstoffvarianten[Variante],Dämmstoffvarianten[Differenz Dämmstoffedicke zu Referenz '[mm']]),Baukon[[#This Row],[Dicke '[mm'] Referenz]])</f>
        <v>4,5</v>
      </c>
      <c r="K30" s="36" t="str">
        <f>IF(Baukon[[#This Row],[Material ist Dämmstoff?]]="ja",Baukon[[#This Row],[Dicke '[mm'] Referenz]]+_xlfn.XLOOKUP(RIGHT(Baukon[[#Headers],[Dicke '[mm'] max]],3),Dämmstoffvarianten[Variante],Dämmstoffvarianten[Differenz Dämmstoffedicke zu Referenz '[mm']]),Baukon[[#This Row],[Dicke '[mm'] Referenz]])</f>
        <v>4,5</v>
      </c>
      <c r="L30" s="43">
        <v>1</v>
      </c>
      <c r="M30" s="41"/>
      <c r="N30" s="103">
        <f>IFERROR(Baukon[[#This Row],[Dicke '[mm'] Referenz]]/1000*Baukon[[#This Row],[Flächenanteil '[%']]],"")</f>
        <v>4.4999999999999997E-3</v>
      </c>
      <c r="O30" s="103">
        <f>IFERROR(Baukon[[#This Row],[Dicke '[mm'] min]]/1000*Baukon[[#This Row],[Flächenanteil '[%']]],"")</f>
        <v>4.4999999999999997E-3</v>
      </c>
      <c r="P30" s="103">
        <f>IFERROR(Baukon[[#This Row],[Dicke '[mm'] max]]/1000*Baukon[[#This Row],[Flächenanteil '[%']]],"")</f>
        <v>4.4999999999999997E-3</v>
      </c>
      <c r="Q30"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5.3999999999999995</v>
      </c>
      <c r="R30"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5.3999999999999995</v>
      </c>
      <c r="S30"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5.3999999999999995</v>
      </c>
      <c r="T30" s="42" t="s">
        <v>226</v>
      </c>
      <c r="U30" s="103" t="str">
        <f>_xlfn.XLOOKUP(Baukon[[#This Row],[Material]],LeitRess_Materialien[Name],LeitRess_Materialien[Material_UUID])</f>
        <v>73d1c1b7-d509-44c8-8518-848babdd7c01</v>
      </c>
      <c r="V30" s="42">
        <f>_xlfn.XLOOKUP(Baukon[[#This Row],[LCA Datensatz]],LeitRess_Materialien[Material_UUID],LeitRess_Materialien[Rohdichte_'[kg/m3']])</f>
        <v>1200</v>
      </c>
      <c r="W30" s="42">
        <f>_xlfn.XLOOKUP(Baukon[[#This Row],[LCA Datensatz]],LeitRess_Materialien[Material_UUID],LeitRess_Materialien[Flächengewicht_'[kg/m2']])</f>
        <v>5</v>
      </c>
      <c r="X30" s="104">
        <f>_xlfn.XLOOKUP(Baukon[[#This Row],[LCA Datensatz]],LeitRess_Materialien[Material_UUID],LeitRess_Materialien[Längengewicht_'[kg/m']])</f>
        <v>0</v>
      </c>
      <c r="Y30" s="104">
        <f>_xlfn.XLOOKUP(Baukon[[#This Row],[LCA Datensatz]],LeitRess_Materialien[Material_UUID],LeitRess_Materialien[lambda_'[W/mK']])</f>
        <v>0.215</v>
      </c>
      <c r="Z30" s="103">
        <f>IFERROR(Baukon[[#This Row],[Dicke '[mm'] Referenz]]/Baukon[[#This Row],[lambda_'[W/mK']]],"")</f>
        <v>20.930232558139537</v>
      </c>
      <c r="AA30" s="37">
        <f>_xlfn.XLOOKUP(Baukon[[#This Row],[LCA Datensatz]],LeitRess_Materialien[Material_UUID],LeitRess_Materialien[RMI '[kg Primärrohstoffe / kg']])*Baukon[[#This Row],[Masse '[kg/m²'] Referenz]]</f>
        <v>8.5845268188329023</v>
      </c>
      <c r="AB30" s="37">
        <f>_xlfn.XLOOKUP(Baukon[[#This Row],[LCA Datensatz]],LeitRess_Materialien[Material_UUID],LeitRess_Materialien[RMI '[kg Primärrohstoffe / kg']])*Baukon[[#This Row],[Masse '[kg/m²'] min]]</f>
        <v>8.5845268188329023</v>
      </c>
      <c r="AC30" s="37">
        <f>_xlfn.XLOOKUP(Baukon[[#This Row],[LCA Datensatz]],LeitRess_Materialien[Material_UUID],LeitRess_Materialien[RMI '[kg Primärrohstoffe / kg']])*Baukon[[#This Row],[Masse '[kg/m²'] max]]</f>
        <v>8.5845268188329023</v>
      </c>
      <c r="AD30" s="37">
        <f>_xlfn.XLOOKUP(Baukon[[#This Row],[LCA Datensatz]],LeitRess_Materialien[Material_UUID],LeitRess_Materialien[TMR '[kg Gesamtmaterialaufwand/kg']])*Baukon[[#This Row],[Masse '[kg/m²'] Referenz]]</f>
        <v>10.861523684728702</v>
      </c>
      <c r="AE30" s="37">
        <f>_xlfn.XLOOKUP(Baukon[[#This Row],[LCA Datensatz]],LeitRess_Materialien[Material_UUID],LeitRess_Materialien[TMR '[kg Gesamtmaterialaufwand/kg']])*Baukon[[#This Row],[Masse '[kg/m²'] min]]</f>
        <v>10.861523684728702</v>
      </c>
      <c r="AF30" s="37">
        <f>_xlfn.XLOOKUP(Baukon[[#This Row],[LCA Datensatz]],LeitRess_Materialien[Material_UUID],LeitRess_Materialien[TMR '[kg Gesamtmaterialaufwand/kg']])*Baukon[[#This Row],[Masse '[kg/m²'] max]]</f>
        <v>10.861523684728702</v>
      </c>
      <c r="AG30" s="37">
        <f>_xlfn.XLOOKUP(Baukon[[#This Row],[LCA Datensatz]],LeitRess_Materialien[Material_UUID],LeitRess_Materialien[GWP '[kg CO2-Äqu./kg']])*Baukon[[#This Row],[Masse '[kg/m²'] Referenz]]</f>
        <v>3.0978425180957716</v>
      </c>
      <c r="AH30" s="37">
        <f>_xlfn.XLOOKUP(Baukon[[#This Row],[LCA Datensatz]],LeitRess_Materialien[Material_UUID],LeitRess_Materialien[GWP '[kg CO2-Äqu./kg']])*Baukon[[#This Row],[Masse '[kg/m²'] min]]</f>
        <v>3.0978425180957716</v>
      </c>
      <c r="AI30" s="37">
        <f>_xlfn.XLOOKUP(Baukon[[#This Row],[LCA Datensatz]],LeitRess_Materialien[Material_UUID],LeitRess_Materialien[GWP '[kg CO2-Äqu./kg']])*Baukon[[#This Row],[Masse '[kg/m²'] max]]</f>
        <v>3.0978425180957716</v>
      </c>
      <c r="AJ30" s="37">
        <f>_xlfn.XLOOKUP(Baukon[[#This Row],[LCA Datensatz]],LeitRess_Materialien[Material_UUID],LeitRess_Materialien[PENRT '[MJ/kg']])*Baukon[[#This Row],[Masse '[kg/m²'] Referenz]]</f>
        <v>205.89156271166578</v>
      </c>
      <c r="AK30" s="37">
        <f>_xlfn.XLOOKUP(Baukon[[#This Row],[LCA Datensatz]],LeitRess_Materialien[Material_UUID],LeitRess_Materialien[PENRT '[MJ/kg']])*Baukon[[#This Row],[Masse '[kg/m²'] min]]</f>
        <v>205.89156271166578</v>
      </c>
      <c r="AL30" s="37">
        <f>_xlfn.XLOOKUP(Baukon[[#This Row],[LCA Datensatz]],LeitRess_Materialien[Material_UUID],LeitRess_Materialien[PENRT '[MJ/kg']])*Baukon[[#This Row],[Masse '[kg/m²'] max]]</f>
        <v>205.89156271166578</v>
      </c>
      <c r="AM30" s="37" t="e">
        <f>_xlfn.XLOOKUP(Baukon[[#This Row],[LCA Datensatz]],LeitRess_Materialien[Material_UUID],#REF!)*Baukon[[#This Row],[Masse '[kg/m²'] Referenz]]</f>
        <v>#REF!</v>
      </c>
      <c r="AN30" s="37" t="e">
        <f>_xlfn.XLOOKUP(Baukon[[#This Row],[LCA Datensatz]],LeitRess_Materialien[Material_UUID],#REF!)*Baukon[[#This Row],[Masse '[kg/m²'] min]]</f>
        <v>#REF!</v>
      </c>
      <c r="AO30" s="37" t="e">
        <f>_xlfn.XLOOKUP(Baukon[[#This Row],[LCA Datensatz]],LeitRess_Materialien[Material_UUID],#REF!)*Baukon[[#This Row],[Masse '[kg/m²'] max]]</f>
        <v>#REF!</v>
      </c>
      <c r="AP30" s="37">
        <f>_xlfn.XLOOKUP(Baukon[[#This Row],[LCA Datensatz]],LeitRess_Materialien[Material_UUID],LeitRess_Materialien[WDP '[m³ weighted water/kg']])*Baukon[[#This Row],[Masse '[kg/m²'] Referenz]]</f>
        <v>1.0439895220025921</v>
      </c>
      <c r="AQ30" s="37">
        <f>_xlfn.XLOOKUP(Baukon[[#This Row],[LCA Datensatz]],LeitRess_Materialien[Material_UUID],LeitRess_Materialien[WDP '[m³ weighted water/kg']])*Baukon[[#This Row],[Masse '[kg/m²'] min]]</f>
        <v>1.0439895220025921</v>
      </c>
      <c r="AR30" s="37">
        <f>_xlfn.XLOOKUP(Baukon[[#This Row],[LCA Datensatz]],LeitRess_Materialien[Material_UUID],LeitRess_Materialien[WDP '[m³ weighted water/kg']])*Baukon[[#This Row],[Masse '[kg/m²'] max]]</f>
        <v>1.0439895220025921</v>
      </c>
      <c r="AS30" s="39">
        <f>Baukon[[#This Row],[GWP '[kg CO2-Äqu./m²'] Referenz]]/'Ausgabe Tabellen'!$C$21+Baukon[[#This Row],[PENRT '[MJ/m²'] Referenz]]/'Ausgabe Tabellen'!$C$22+Baukon[[#This Row],[RMI '[kg Primärrohstoffe/m²'] Referenz]]/'Ausgabe Tabellen'!$C$23+Baukon[[#This Row],[WDP '[m² weighted water/m²'] Referenz]]/'Ausgabe Tabellen'!$C$24</f>
        <v>2.0788073179691066E-3</v>
      </c>
      <c r="AT30" s="39">
        <f>Baukon[[#This Row],[GWP '[kg CO2-Äqu./m²'] min]]/'Ausgabe Tabellen'!$C$21+Baukon[[#This Row],[PENRT '[MJ/m²'] min]]/'Ausgabe Tabellen'!$C$22+Baukon[[#This Row],[RMI '[kg Primärrohstoffe/m²'] min]]/'Ausgabe Tabellen'!$C$23+Baukon[[#This Row],[WDP '[m² weighted water/m²'] min]]/'Ausgabe Tabellen'!$C$24</f>
        <v>2.0788073179691066E-3</v>
      </c>
      <c r="AU30" s="39">
        <f>Baukon[[#This Row],[GWP '[kg CO2-Äqu./m²'] max]]/'Ausgabe Tabellen'!$C$21+Baukon[[#This Row],[PENRT '[MJ/m²'] max]]/'Ausgabe Tabellen'!$C$22+Baukon[[#This Row],[RMI '[kg Primärrohstoffe/m²'] max]]/'Ausgabe Tabellen'!$C$23+Baukon[[#This Row],[WDP '[m² weighted water/m²'] max]]/'Ausgabe Tabellen'!$C$24</f>
        <v>2.0788073179691066E-3</v>
      </c>
    </row>
    <row r="31" spans="1:47" s="24" customFormat="1" ht="15.75" x14ac:dyDescent="0.5">
      <c r="A31" s="36" t="s">
        <v>53</v>
      </c>
      <c r="B31" s="36" t="s">
        <v>306</v>
      </c>
      <c r="C31" s="36">
        <v>1</v>
      </c>
      <c r="D31" s="36" t="s">
        <v>303</v>
      </c>
      <c r="E31" s="36" t="str">
        <f>Baukon[[#This Row],[Variante Nummer]]&amp;". "&amp;Baukon[[#This Row],[Name Baukonstruktion]]&amp;" | " &amp;Baukon[[#This Row],[Variante Name]]</f>
        <v>1. Stahlbeton-Bodenplatte | Referenz XPS</v>
      </c>
      <c r="F31" s="36" t="s">
        <v>321</v>
      </c>
      <c r="G31" s="36" t="s">
        <v>256</v>
      </c>
      <c r="H31" s="36" t="s">
        <v>225</v>
      </c>
      <c r="I31" s="41">
        <v>150</v>
      </c>
      <c r="J31" s="36">
        <f>IF(Baukon[[#This Row],[Material ist Dämmstoff?]]="ja",Baukon[[#This Row],[Dicke '[mm'] Referenz]]+_xlfn.XLOOKUP(RIGHT(Baukon[[#Headers],[Dicke '[mm'] min]],3),Dämmstoffvarianten[Variante],Dämmstoffvarianten[Differenz Dämmstoffedicke zu Referenz '[mm']]),Baukon[[#This Row],[Dicke '[mm'] Referenz]])</f>
        <v>150</v>
      </c>
      <c r="K31" s="36">
        <f>IF(Baukon[[#This Row],[Material ist Dämmstoff?]]="ja",Baukon[[#This Row],[Dicke '[mm'] Referenz]]+_xlfn.XLOOKUP(RIGHT(Baukon[[#Headers],[Dicke '[mm'] max]],3),Dämmstoffvarianten[Variante],Dämmstoffvarianten[Differenz Dämmstoffedicke zu Referenz '[mm']]),Baukon[[#This Row],[Dicke '[mm'] Referenz]])</f>
        <v>150</v>
      </c>
      <c r="L31" s="43">
        <v>1</v>
      </c>
      <c r="M31" s="41"/>
      <c r="N31" s="103">
        <f>IFERROR(Baukon[[#This Row],[Dicke '[mm'] Referenz]]/1000*Baukon[[#This Row],[Flächenanteil '[%']]],"")</f>
        <v>0.15</v>
      </c>
      <c r="O31" s="103">
        <f>IFERROR(Baukon[[#This Row],[Dicke '[mm'] min]]/1000*Baukon[[#This Row],[Flächenanteil '[%']]],"")</f>
        <v>0.15</v>
      </c>
      <c r="P31" s="103">
        <f>IFERROR(Baukon[[#This Row],[Dicke '[mm'] max]]/1000*Baukon[[#This Row],[Flächenanteil '[%']]],"")</f>
        <v>0.15</v>
      </c>
      <c r="Q31"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360</v>
      </c>
      <c r="R31"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360</v>
      </c>
      <c r="S31"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360</v>
      </c>
      <c r="T31" s="42" t="s">
        <v>226</v>
      </c>
      <c r="U31" s="103" t="str">
        <f>_xlfn.XLOOKUP(Baukon[[#This Row],[Material]],LeitRess_Materialien[Name],LeitRess_Materialien[Material_UUID])</f>
        <v>0973f221-2284-4892-ae3d-1b8c2986b6dd</v>
      </c>
      <c r="V31" s="42">
        <f>_xlfn.XLOOKUP(Baukon[[#This Row],[LCA Datensatz]],LeitRess_Materialien[Material_UUID],LeitRess_Materialien[Rohdichte_'[kg/m3']])</f>
        <v>2400</v>
      </c>
      <c r="W31" s="42">
        <f>_xlfn.XLOOKUP(Baukon[[#This Row],[LCA Datensatz]],LeitRess_Materialien[Material_UUID],LeitRess_Materialien[Flächengewicht_'[kg/m2']])</f>
        <v>0</v>
      </c>
      <c r="X31" s="104">
        <f>_xlfn.XLOOKUP(Baukon[[#This Row],[LCA Datensatz]],LeitRess_Materialien[Material_UUID],LeitRess_Materialien[Längengewicht_'[kg/m']])</f>
        <v>0</v>
      </c>
      <c r="Y31" s="104">
        <f>_xlfn.XLOOKUP(Baukon[[#This Row],[LCA Datensatz]],LeitRess_Materialien[Material_UUID],LeitRess_Materialien[lambda_'[W/mK']])</f>
        <v>1.4</v>
      </c>
      <c r="Z31" s="103">
        <f>IFERROR(Baukon[[#This Row],[Dicke '[mm'] Referenz]]/Baukon[[#This Row],[lambda_'[W/mK']]],"")</f>
        <v>107.14285714285715</v>
      </c>
      <c r="AA31" s="37">
        <f>_xlfn.XLOOKUP(Baukon[[#This Row],[LCA Datensatz]],LeitRess_Materialien[Material_UUID],LeitRess_Materialien[RMI '[kg Primärrohstoffe / kg']])*Baukon[[#This Row],[Masse '[kg/m²'] Referenz]]</f>
        <v>434.38885675165795</v>
      </c>
      <c r="AB31" s="37">
        <f>_xlfn.XLOOKUP(Baukon[[#This Row],[LCA Datensatz]],LeitRess_Materialien[Material_UUID],LeitRess_Materialien[RMI '[kg Primärrohstoffe / kg']])*Baukon[[#This Row],[Masse '[kg/m²'] min]]</f>
        <v>434.38885675165795</v>
      </c>
      <c r="AC31" s="37">
        <f>_xlfn.XLOOKUP(Baukon[[#This Row],[LCA Datensatz]],LeitRess_Materialien[Material_UUID],LeitRess_Materialien[RMI '[kg Primärrohstoffe / kg']])*Baukon[[#This Row],[Masse '[kg/m²'] max]]</f>
        <v>434.38885675165795</v>
      </c>
      <c r="AD31" s="37">
        <f>_xlfn.XLOOKUP(Baukon[[#This Row],[LCA Datensatz]],LeitRess_Materialien[Material_UUID],LeitRess_Materialien[TMR '[kg Gesamtmaterialaufwand/kg']])*Baukon[[#This Row],[Masse '[kg/m²'] Referenz]]</f>
        <v>465.59575440345964</v>
      </c>
      <c r="AE31" s="37">
        <f>_xlfn.XLOOKUP(Baukon[[#This Row],[LCA Datensatz]],LeitRess_Materialien[Material_UUID],LeitRess_Materialien[TMR '[kg Gesamtmaterialaufwand/kg']])*Baukon[[#This Row],[Masse '[kg/m²'] min]]</f>
        <v>465.59575440345964</v>
      </c>
      <c r="AF31" s="37">
        <f>_xlfn.XLOOKUP(Baukon[[#This Row],[LCA Datensatz]],LeitRess_Materialien[Material_UUID],LeitRess_Materialien[TMR '[kg Gesamtmaterialaufwand/kg']])*Baukon[[#This Row],[Masse '[kg/m²'] max]]</f>
        <v>465.59575440345964</v>
      </c>
      <c r="AG31" s="37">
        <f>_xlfn.XLOOKUP(Baukon[[#This Row],[LCA Datensatz]],LeitRess_Materialien[Material_UUID],LeitRess_Materialien[GWP '[kg CO2-Äqu./kg']])*Baukon[[#This Row],[Masse '[kg/m²'] Referenz]]</f>
        <v>83.710457744599083</v>
      </c>
      <c r="AH31" s="37">
        <f>_xlfn.XLOOKUP(Baukon[[#This Row],[LCA Datensatz]],LeitRess_Materialien[Material_UUID],LeitRess_Materialien[GWP '[kg CO2-Äqu./kg']])*Baukon[[#This Row],[Masse '[kg/m²'] min]]</f>
        <v>83.710457744599083</v>
      </c>
      <c r="AI31" s="37">
        <f>_xlfn.XLOOKUP(Baukon[[#This Row],[LCA Datensatz]],LeitRess_Materialien[Material_UUID],LeitRess_Materialien[GWP '[kg CO2-Äqu./kg']])*Baukon[[#This Row],[Masse '[kg/m²'] max]]</f>
        <v>83.710457744599083</v>
      </c>
      <c r="AJ31" s="37">
        <f>_xlfn.XLOOKUP(Baukon[[#This Row],[LCA Datensatz]],LeitRess_Materialien[Material_UUID],LeitRess_Materialien[PENRT '[MJ/kg']])*Baukon[[#This Row],[Masse '[kg/m²'] Referenz]]</f>
        <v>646.64678231362802</v>
      </c>
      <c r="AK31" s="37">
        <f>_xlfn.XLOOKUP(Baukon[[#This Row],[LCA Datensatz]],LeitRess_Materialien[Material_UUID],LeitRess_Materialien[PENRT '[MJ/kg']])*Baukon[[#This Row],[Masse '[kg/m²'] min]]</f>
        <v>646.64678231362802</v>
      </c>
      <c r="AL31" s="37">
        <f>_xlfn.XLOOKUP(Baukon[[#This Row],[LCA Datensatz]],LeitRess_Materialien[Material_UUID],LeitRess_Materialien[PENRT '[MJ/kg']])*Baukon[[#This Row],[Masse '[kg/m²'] max]]</f>
        <v>646.64678231362802</v>
      </c>
      <c r="AM31" s="37" t="e">
        <f>_xlfn.XLOOKUP(Baukon[[#This Row],[LCA Datensatz]],LeitRess_Materialien[Material_UUID],#REF!)*Baukon[[#This Row],[Masse '[kg/m²'] Referenz]]</f>
        <v>#REF!</v>
      </c>
      <c r="AN31" s="37" t="e">
        <f>_xlfn.XLOOKUP(Baukon[[#This Row],[LCA Datensatz]],LeitRess_Materialien[Material_UUID],#REF!)*Baukon[[#This Row],[Masse '[kg/m²'] min]]</f>
        <v>#REF!</v>
      </c>
      <c r="AO31" s="37" t="e">
        <f>_xlfn.XLOOKUP(Baukon[[#This Row],[LCA Datensatz]],LeitRess_Materialien[Material_UUID],#REF!)*Baukon[[#This Row],[Masse '[kg/m²'] max]]</f>
        <v>#REF!</v>
      </c>
      <c r="AP31" s="37">
        <f>_xlfn.XLOOKUP(Baukon[[#This Row],[LCA Datensatz]],LeitRess_Materialien[Material_UUID],LeitRess_Materialien[WDP '[m³ weighted water/kg']])*Baukon[[#This Row],[Masse '[kg/m²'] Referenz]]</f>
        <v>12.044908075038624</v>
      </c>
      <c r="AQ31" s="37">
        <f>_xlfn.XLOOKUP(Baukon[[#This Row],[LCA Datensatz]],LeitRess_Materialien[Material_UUID],LeitRess_Materialien[WDP '[m³ weighted water/kg']])*Baukon[[#This Row],[Masse '[kg/m²'] min]]</f>
        <v>12.044908075038624</v>
      </c>
      <c r="AR31" s="37">
        <f>_xlfn.XLOOKUP(Baukon[[#This Row],[LCA Datensatz]],LeitRess_Materialien[Material_UUID],LeitRess_Materialien[WDP '[m³ weighted water/kg']])*Baukon[[#This Row],[Masse '[kg/m²'] max]]</f>
        <v>12.044908075038624</v>
      </c>
      <c r="AS31" s="39">
        <f>Baukon[[#This Row],[GWP '[kg CO2-Äqu./m²'] Referenz]]/'Ausgabe Tabellen'!$C$21+Baukon[[#This Row],[PENRT '[MJ/m²'] Referenz]]/'Ausgabe Tabellen'!$C$22+Baukon[[#This Row],[RMI '[kg Primärrohstoffe/m²'] Referenz]]/'Ausgabe Tabellen'!$C$23+Baukon[[#This Row],[WDP '[m² weighted water/m²'] Referenz]]/'Ausgabe Tabellen'!$C$24</f>
        <v>2.5192635974851219E-2</v>
      </c>
      <c r="AT31" s="39">
        <f>Baukon[[#This Row],[GWP '[kg CO2-Äqu./m²'] min]]/'Ausgabe Tabellen'!$C$21+Baukon[[#This Row],[PENRT '[MJ/m²'] min]]/'Ausgabe Tabellen'!$C$22+Baukon[[#This Row],[RMI '[kg Primärrohstoffe/m²'] min]]/'Ausgabe Tabellen'!$C$23+Baukon[[#This Row],[WDP '[m² weighted water/m²'] min]]/'Ausgabe Tabellen'!$C$24</f>
        <v>2.5192635974851219E-2</v>
      </c>
      <c r="AU31" s="39">
        <f>Baukon[[#This Row],[GWP '[kg CO2-Äqu./m²'] max]]/'Ausgabe Tabellen'!$C$21+Baukon[[#This Row],[PENRT '[MJ/m²'] max]]/'Ausgabe Tabellen'!$C$22+Baukon[[#This Row],[RMI '[kg Primärrohstoffe/m²'] max]]/'Ausgabe Tabellen'!$C$23+Baukon[[#This Row],[WDP '[m² weighted water/m²'] max]]/'Ausgabe Tabellen'!$C$24</f>
        <v>2.5192635974851219E-2</v>
      </c>
    </row>
    <row r="32" spans="1:47" s="24" customFormat="1" ht="15.75" x14ac:dyDescent="0.5">
      <c r="A32" s="36" t="s">
        <v>87</v>
      </c>
      <c r="B32" s="36" t="s">
        <v>308</v>
      </c>
      <c r="C32" s="36">
        <v>1</v>
      </c>
      <c r="D32" s="36" t="s">
        <v>309</v>
      </c>
      <c r="E32" s="36" t="str">
        <f>Baukon[[#This Row],[Variante Nummer]]&amp;". "&amp;Baukon[[#This Row],[Name Baukonstruktion]]&amp;" | " &amp;Baukon[[#This Row],[Variante Name]]</f>
        <v>1. Mauerwerk, einschalig - Kalksandstein (KS) mit Dämmung | Referenz EPS</v>
      </c>
      <c r="F32" s="36" t="s">
        <v>329</v>
      </c>
      <c r="G32" s="36" t="s">
        <v>269</v>
      </c>
      <c r="H32" s="36" t="s">
        <v>228</v>
      </c>
      <c r="I32" s="41">
        <v>140</v>
      </c>
      <c r="J32" s="36">
        <f>IF(Baukon[[#This Row],[Material ist Dämmstoff?]]="ja",Baukon[[#This Row],[Dicke '[mm'] Referenz]]+_xlfn.XLOOKUP(RIGHT(Baukon[[#Headers],[Dicke '[mm'] min]],3),Dämmstoffvarianten[Variante],Dämmstoffvarianten[Differenz Dämmstoffedicke zu Referenz '[mm']]),Baukon[[#This Row],[Dicke '[mm'] Referenz]])</f>
        <v>100</v>
      </c>
      <c r="K32" s="36">
        <f>IF(Baukon[[#This Row],[Material ist Dämmstoff?]]="ja",Baukon[[#This Row],[Dicke '[mm'] Referenz]]+_xlfn.XLOOKUP(RIGHT(Baukon[[#Headers],[Dicke '[mm'] max]],3),Dämmstoffvarianten[Variante],Dämmstoffvarianten[Differenz Dämmstoffedicke zu Referenz '[mm']]),Baukon[[#This Row],[Dicke '[mm'] Referenz]])</f>
        <v>220</v>
      </c>
      <c r="L32" s="43">
        <v>1</v>
      </c>
      <c r="M32" s="41"/>
      <c r="N32" s="103">
        <f>IFERROR(Baukon[[#This Row],[Dicke '[mm'] Referenz]]/1000*Baukon[[#This Row],[Flächenanteil '[%']]],"")</f>
        <v>0.14000000000000001</v>
      </c>
      <c r="O32" s="103">
        <f>IFERROR(Baukon[[#This Row],[Dicke '[mm'] min]]/1000*Baukon[[#This Row],[Flächenanteil '[%']]],"")</f>
        <v>0.1</v>
      </c>
      <c r="P32" s="103">
        <f>IFERROR(Baukon[[#This Row],[Dicke '[mm'] max]]/1000*Baukon[[#This Row],[Flächenanteil '[%']]],"")</f>
        <v>0.22</v>
      </c>
      <c r="Q32"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3.5000000000000004</v>
      </c>
      <c r="R32"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2.5</v>
      </c>
      <c r="S32"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5.5</v>
      </c>
      <c r="T32" s="42" t="s">
        <v>378</v>
      </c>
      <c r="U32" s="103" t="str">
        <f>_xlfn.XLOOKUP(Baukon[[#This Row],[Material]],LeitRess_Materialien[Name],LeitRess_Materialien[Material_UUID])</f>
        <v>1be79c83-2ab7-4d30-a44b-8f463376e51e</v>
      </c>
      <c r="V32" s="42">
        <f>_xlfn.XLOOKUP(Baukon[[#This Row],[LCA Datensatz]],LeitRess_Materialien[Material_UUID],LeitRess_Materialien[Rohdichte_'[kg/m3']])</f>
        <v>25</v>
      </c>
      <c r="W32" s="42">
        <f>_xlfn.XLOOKUP(Baukon[[#This Row],[LCA Datensatz]],LeitRess_Materialien[Material_UUID],LeitRess_Materialien[Flächengewicht_'[kg/m2']])</f>
        <v>0</v>
      </c>
      <c r="X32" s="104">
        <f>_xlfn.XLOOKUP(Baukon[[#This Row],[LCA Datensatz]],LeitRess_Materialien[Material_UUID],LeitRess_Materialien[Längengewicht_'[kg/m']])</f>
        <v>0</v>
      </c>
      <c r="Y32" s="104">
        <f>_xlfn.XLOOKUP(Baukon[[#This Row],[LCA Datensatz]],LeitRess_Materialien[Material_UUID],LeitRess_Materialien[lambda_'[W/mK']])</f>
        <v>0.03</v>
      </c>
      <c r="Z32" s="103">
        <f>IFERROR(Baukon[[#This Row],[Dicke '[mm'] Referenz]]/Baukon[[#This Row],[lambda_'[W/mK']]],"")</f>
        <v>4666.666666666667</v>
      </c>
      <c r="AA32" s="37">
        <f>_xlfn.XLOOKUP(Baukon[[#This Row],[LCA Datensatz]],LeitRess_Materialien[Material_UUID],LeitRess_Materialien[RMI '[kg Primärrohstoffe / kg']])*Baukon[[#This Row],[Masse '[kg/m²'] Referenz]]</f>
        <v>7.3511986989897053</v>
      </c>
      <c r="AB32" s="37">
        <f>_xlfn.XLOOKUP(Baukon[[#This Row],[LCA Datensatz]],LeitRess_Materialien[Material_UUID],LeitRess_Materialien[RMI '[kg Primärrohstoffe / kg']])*Baukon[[#This Row],[Masse '[kg/m²'] min]]</f>
        <v>5.2508562135640746</v>
      </c>
      <c r="AC32" s="37">
        <f>_xlfn.XLOOKUP(Baukon[[#This Row],[LCA Datensatz]],LeitRess_Materialien[Material_UUID],LeitRess_Materialien[RMI '[kg Primärrohstoffe / kg']])*Baukon[[#This Row],[Masse '[kg/m²'] max]]</f>
        <v>11.551883669840965</v>
      </c>
      <c r="AD32" s="37">
        <f>_xlfn.XLOOKUP(Baukon[[#This Row],[LCA Datensatz]],LeitRess_Materialien[Material_UUID],LeitRess_Materialien[TMR '[kg Gesamtmaterialaufwand/kg']])*Baukon[[#This Row],[Masse '[kg/m²'] Referenz]]</f>
        <v>8.6144965316856617</v>
      </c>
      <c r="AE32" s="37">
        <f>_xlfn.XLOOKUP(Baukon[[#This Row],[LCA Datensatz]],LeitRess_Materialien[Material_UUID],LeitRess_Materialien[TMR '[kg Gesamtmaterialaufwand/kg']])*Baukon[[#This Row],[Masse '[kg/m²'] min]]</f>
        <v>6.1532118083469003</v>
      </c>
      <c r="AF32" s="37">
        <f>_xlfn.XLOOKUP(Baukon[[#This Row],[LCA Datensatz]],LeitRess_Materialien[Material_UUID],LeitRess_Materialien[TMR '[kg Gesamtmaterialaufwand/kg']])*Baukon[[#This Row],[Masse '[kg/m²'] max]]</f>
        <v>13.537065978363181</v>
      </c>
      <c r="AG32" s="37">
        <f>_xlfn.XLOOKUP(Baukon[[#This Row],[LCA Datensatz]],LeitRess_Materialien[Material_UUID],LeitRess_Materialien[GWP '[kg CO2-Äqu./kg']])*Baukon[[#This Row],[Masse '[kg/m²'] Referenz]]</f>
        <v>12.855238483464827</v>
      </c>
      <c r="AH32" s="37">
        <f>_xlfn.XLOOKUP(Baukon[[#This Row],[LCA Datensatz]],LeitRess_Materialien[Material_UUID],LeitRess_Materialien[GWP '[kg CO2-Äqu./kg']])*Baukon[[#This Row],[Masse '[kg/m²'] min]]</f>
        <v>9.1823132024748748</v>
      </c>
      <c r="AI32" s="37">
        <f>_xlfn.XLOOKUP(Baukon[[#This Row],[LCA Datensatz]],LeitRess_Materialien[Material_UUID],LeitRess_Materialien[GWP '[kg CO2-Äqu./kg']])*Baukon[[#This Row],[Masse '[kg/m²'] max]]</f>
        <v>20.201089045444725</v>
      </c>
      <c r="AJ32" s="37">
        <f>_xlfn.XLOOKUP(Baukon[[#This Row],[LCA Datensatz]],LeitRess_Materialien[Material_UUID],LeitRess_Materialien[PENRT '[MJ/kg']])*Baukon[[#This Row],[Masse '[kg/m²'] Referenz]]</f>
        <v>301.75863394941285</v>
      </c>
      <c r="AK32" s="37">
        <f>_xlfn.XLOOKUP(Baukon[[#This Row],[LCA Datensatz]],LeitRess_Materialien[Material_UUID],LeitRess_Materialien[PENRT '[MJ/kg']])*Baukon[[#This Row],[Masse '[kg/m²'] min]]</f>
        <v>215.54188139243774</v>
      </c>
      <c r="AL32" s="37">
        <f>_xlfn.XLOOKUP(Baukon[[#This Row],[LCA Datensatz]],LeitRess_Materialien[Material_UUID],LeitRess_Materialien[PENRT '[MJ/kg']])*Baukon[[#This Row],[Masse '[kg/m²'] max]]</f>
        <v>474.19213906336302</v>
      </c>
      <c r="AM32" s="37" t="e">
        <f>_xlfn.XLOOKUP(Baukon[[#This Row],[LCA Datensatz]],LeitRess_Materialien[Material_UUID],#REF!)*Baukon[[#This Row],[Masse '[kg/m²'] Referenz]]</f>
        <v>#REF!</v>
      </c>
      <c r="AN32" s="37" t="e">
        <f>_xlfn.XLOOKUP(Baukon[[#This Row],[LCA Datensatz]],LeitRess_Materialien[Material_UUID],#REF!)*Baukon[[#This Row],[Masse '[kg/m²'] min]]</f>
        <v>#REF!</v>
      </c>
      <c r="AO32" s="37" t="e">
        <f>_xlfn.XLOOKUP(Baukon[[#This Row],[LCA Datensatz]],LeitRess_Materialien[Material_UUID],#REF!)*Baukon[[#This Row],[Masse '[kg/m²'] max]]</f>
        <v>#REF!</v>
      </c>
      <c r="AP32" s="37">
        <f>_xlfn.XLOOKUP(Baukon[[#This Row],[LCA Datensatz]],LeitRess_Materialien[Material_UUID],LeitRess_Materialien[WDP '[m³ weighted water/kg']])*Baukon[[#This Row],[Masse '[kg/m²'] Referenz]]</f>
        <v>9.2672296315016975</v>
      </c>
      <c r="AQ32" s="37">
        <f>_xlfn.XLOOKUP(Baukon[[#This Row],[LCA Datensatz]],LeitRess_Materialien[Material_UUID],LeitRess_Materialien[WDP '[m³ weighted water/kg']])*Baukon[[#This Row],[Masse '[kg/m²'] min]]</f>
        <v>6.6194497367869252</v>
      </c>
      <c r="AR32" s="37">
        <f>_xlfn.XLOOKUP(Baukon[[#This Row],[LCA Datensatz]],LeitRess_Materialien[Material_UUID],LeitRess_Materialien[WDP '[m³ weighted water/kg']])*Baukon[[#This Row],[Masse '[kg/m²'] max]]</f>
        <v>14.562789420931235</v>
      </c>
      <c r="AS32" s="39">
        <f>Baukon[[#This Row],[GWP '[kg CO2-Äqu./m²'] Referenz]]/'Ausgabe Tabellen'!$C$21+Baukon[[#This Row],[PENRT '[MJ/m²'] Referenz]]/'Ausgabe Tabellen'!$C$22+Baukon[[#This Row],[RMI '[kg Primärrohstoffe/m²'] Referenz]]/'Ausgabe Tabellen'!$C$23+Baukon[[#This Row],[WDP '[m² weighted water/m²'] Referenz]]/'Ausgabe Tabellen'!$C$24</f>
        <v>4.3440498929561335E-3</v>
      </c>
      <c r="AT32" s="39">
        <f>Baukon[[#This Row],[GWP '[kg CO2-Äqu./m²'] min]]/'Ausgabe Tabellen'!$C$21+Baukon[[#This Row],[PENRT '[MJ/m²'] min]]/'Ausgabe Tabellen'!$C$22+Baukon[[#This Row],[RMI '[kg Primärrohstoffe/m²'] min]]/'Ausgabe Tabellen'!$C$23+Baukon[[#This Row],[WDP '[m² weighted water/m²'] min]]/'Ausgabe Tabellen'!$C$24</f>
        <v>3.1028927806829526E-3</v>
      </c>
      <c r="AU32" s="39">
        <f>Baukon[[#This Row],[GWP '[kg CO2-Äqu./m²'] max]]/'Ausgabe Tabellen'!$C$21+Baukon[[#This Row],[PENRT '[MJ/m²'] max]]/'Ausgabe Tabellen'!$C$22+Baukon[[#This Row],[RMI '[kg Primärrohstoffe/m²'] max]]/'Ausgabe Tabellen'!$C$23+Baukon[[#This Row],[WDP '[m² weighted water/m²'] max]]/'Ausgabe Tabellen'!$C$24</f>
        <v>6.8263641175024953E-3</v>
      </c>
    </row>
    <row r="33" spans="1:47" s="24" customFormat="1" ht="15.75" x14ac:dyDescent="0.5">
      <c r="A33" s="36" t="s">
        <v>87</v>
      </c>
      <c r="B33" s="36" t="s">
        <v>308</v>
      </c>
      <c r="C33" s="36">
        <v>1</v>
      </c>
      <c r="D33" s="36" t="s">
        <v>309</v>
      </c>
      <c r="E33" s="36" t="str">
        <f>Baukon[[#This Row],[Variante Nummer]]&amp;". "&amp;Baukon[[#This Row],[Name Baukonstruktion]]&amp;" | " &amp;Baukon[[#This Row],[Variante Name]]</f>
        <v>1. Mauerwerk, einschalig - Kalksandstein (KS) mit Dämmung | Referenz EPS</v>
      </c>
      <c r="F33" s="36" t="s">
        <v>310</v>
      </c>
      <c r="G33" s="36" t="s">
        <v>252</v>
      </c>
      <c r="H33" s="36" t="s">
        <v>225</v>
      </c>
      <c r="I33" s="41">
        <v>15</v>
      </c>
      <c r="J33" s="36">
        <f>IF(Baukon[[#This Row],[Material ist Dämmstoff?]]="ja",Baukon[[#This Row],[Dicke '[mm'] Referenz]]+_xlfn.XLOOKUP(RIGHT(Baukon[[#Headers],[Dicke '[mm'] min]],3),Dämmstoffvarianten[Variante],Dämmstoffvarianten[Differenz Dämmstoffedicke zu Referenz '[mm']]),Baukon[[#This Row],[Dicke '[mm'] Referenz]])</f>
        <v>15</v>
      </c>
      <c r="K33" s="36">
        <f>IF(Baukon[[#This Row],[Material ist Dämmstoff?]]="ja",Baukon[[#This Row],[Dicke '[mm'] Referenz]]+_xlfn.XLOOKUP(RIGHT(Baukon[[#Headers],[Dicke '[mm'] max]],3),Dämmstoffvarianten[Variante],Dämmstoffvarianten[Differenz Dämmstoffedicke zu Referenz '[mm']]),Baukon[[#This Row],[Dicke '[mm'] Referenz]])</f>
        <v>15</v>
      </c>
      <c r="L33" s="43">
        <v>1</v>
      </c>
      <c r="M33" s="41"/>
      <c r="N33" s="103">
        <f>IFERROR(Baukon[[#This Row],[Dicke '[mm'] Referenz]]/1000*Baukon[[#This Row],[Flächenanteil '[%']]],"")</f>
        <v>1.4999999999999999E-2</v>
      </c>
      <c r="O33" s="103">
        <f>IFERROR(Baukon[[#This Row],[Dicke '[mm'] min]]/1000*Baukon[[#This Row],[Flächenanteil '[%']]],"")</f>
        <v>1.4999999999999999E-2</v>
      </c>
      <c r="P33" s="103">
        <f>IFERROR(Baukon[[#This Row],[Dicke '[mm'] max]]/1000*Baukon[[#This Row],[Flächenanteil '[%']]],"")</f>
        <v>1.4999999999999999E-2</v>
      </c>
      <c r="Q33"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15.75</v>
      </c>
      <c r="R33"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15.75</v>
      </c>
      <c r="S33"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15.75</v>
      </c>
      <c r="T33" s="42" t="s">
        <v>252</v>
      </c>
      <c r="U33" s="103" t="str">
        <f>_xlfn.XLOOKUP(Baukon[[#This Row],[Material]],LeitRess_Materialien[Name],LeitRess_Materialien[Material_UUID])</f>
        <v>07f3cd13-22bb-494d-803a-f0a440fbce7a</v>
      </c>
      <c r="V33" s="42">
        <f>_xlfn.XLOOKUP(Baukon[[#This Row],[LCA Datensatz]],LeitRess_Materialien[Material_UUID],LeitRess_Materialien[Rohdichte_'[kg/m3']])</f>
        <v>1050</v>
      </c>
      <c r="W33" s="42">
        <f>_xlfn.XLOOKUP(Baukon[[#This Row],[LCA Datensatz]],LeitRess_Materialien[Material_UUID],LeitRess_Materialien[Flächengewicht_'[kg/m2']])</f>
        <v>0</v>
      </c>
      <c r="X33" s="104">
        <f>_xlfn.XLOOKUP(Baukon[[#This Row],[LCA Datensatz]],LeitRess_Materialien[Material_UUID],LeitRess_Materialien[Längengewicht_'[kg/m']])</f>
        <v>0</v>
      </c>
      <c r="Y33" s="104">
        <f>_xlfn.XLOOKUP(Baukon[[#This Row],[LCA Datensatz]],LeitRess_Materialien[Material_UUID],LeitRess_Materialien[lambda_'[W/mK']])</f>
        <v>1</v>
      </c>
      <c r="Z33" s="103">
        <f>IFERROR(Baukon[[#This Row],[Dicke '[mm'] Referenz]]/Baukon[[#This Row],[lambda_'[W/mK']]],"")</f>
        <v>15</v>
      </c>
      <c r="AA33" s="37">
        <f>_xlfn.XLOOKUP(Baukon[[#This Row],[LCA Datensatz]],LeitRess_Materialien[Material_UUID],LeitRess_Materialien[RMI '[kg Primärrohstoffe / kg']])*Baukon[[#This Row],[Masse '[kg/m²'] Referenz]]</f>
        <v>19.102641975961582</v>
      </c>
      <c r="AB33" s="37">
        <f>_xlfn.XLOOKUP(Baukon[[#This Row],[LCA Datensatz]],LeitRess_Materialien[Material_UUID],LeitRess_Materialien[RMI '[kg Primärrohstoffe / kg']])*Baukon[[#This Row],[Masse '[kg/m²'] min]]</f>
        <v>19.102641975961582</v>
      </c>
      <c r="AC33" s="37">
        <f>_xlfn.XLOOKUP(Baukon[[#This Row],[LCA Datensatz]],LeitRess_Materialien[Material_UUID],LeitRess_Materialien[RMI '[kg Primärrohstoffe / kg']])*Baukon[[#This Row],[Masse '[kg/m²'] max]]</f>
        <v>19.102641975961582</v>
      </c>
      <c r="AD33" s="37">
        <f>_xlfn.XLOOKUP(Baukon[[#This Row],[LCA Datensatz]],LeitRess_Materialien[Material_UUID],LeitRess_Materialien[TMR '[kg Gesamtmaterialaufwand/kg']])*Baukon[[#This Row],[Masse '[kg/m²'] Referenz]]</f>
        <v>19.894952377912816</v>
      </c>
      <c r="AE33" s="37">
        <f>_xlfn.XLOOKUP(Baukon[[#This Row],[LCA Datensatz]],LeitRess_Materialien[Material_UUID],LeitRess_Materialien[TMR '[kg Gesamtmaterialaufwand/kg']])*Baukon[[#This Row],[Masse '[kg/m²'] min]]</f>
        <v>19.894952377912816</v>
      </c>
      <c r="AF33" s="37">
        <f>_xlfn.XLOOKUP(Baukon[[#This Row],[LCA Datensatz]],LeitRess_Materialien[Material_UUID],LeitRess_Materialien[TMR '[kg Gesamtmaterialaufwand/kg']])*Baukon[[#This Row],[Masse '[kg/m²'] max]]</f>
        <v>19.894952377912816</v>
      </c>
      <c r="AG33" s="37">
        <f>_xlfn.XLOOKUP(Baukon[[#This Row],[LCA Datensatz]],LeitRess_Materialien[Material_UUID],LeitRess_Materialien[GWP '[kg CO2-Äqu./kg']])*Baukon[[#This Row],[Masse '[kg/m²'] Referenz]]</f>
        <v>1.8596920563101473</v>
      </c>
      <c r="AH33" s="37">
        <f>_xlfn.XLOOKUP(Baukon[[#This Row],[LCA Datensatz]],LeitRess_Materialien[Material_UUID],LeitRess_Materialien[GWP '[kg CO2-Äqu./kg']])*Baukon[[#This Row],[Masse '[kg/m²'] min]]</f>
        <v>1.8596920563101473</v>
      </c>
      <c r="AI33" s="37">
        <f>_xlfn.XLOOKUP(Baukon[[#This Row],[LCA Datensatz]],LeitRess_Materialien[Material_UUID],LeitRess_Materialien[GWP '[kg CO2-Äqu./kg']])*Baukon[[#This Row],[Masse '[kg/m²'] max]]</f>
        <v>1.8596920563101473</v>
      </c>
      <c r="AJ33" s="37">
        <f>_xlfn.XLOOKUP(Baukon[[#This Row],[LCA Datensatz]],LeitRess_Materialien[Material_UUID],LeitRess_Materialien[PENRT '[MJ/kg']])*Baukon[[#This Row],[Masse '[kg/m²'] Referenz]]</f>
        <v>26.945451563913227</v>
      </c>
      <c r="AK33" s="37">
        <f>_xlfn.XLOOKUP(Baukon[[#This Row],[LCA Datensatz]],LeitRess_Materialien[Material_UUID],LeitRess_Materialien[PENRT '[MJ/kg']])*Baukon[[#This Row],[Masse '[kg/m²'] min]]</f>
        <v>26.945451563913227</v>
      </c>
      <c r="AL33" s="37">
        <f>_xlfn.XLOOKUP(Baukon[[#This Row],[LCA Datensatz]],LeitRess_Materialien[Material_UUID],LeitRess_Materialien[PENRT '[MJ/kg']])*Baukon[[#This Row],[Masse '[kg/m²'] max]]</f>
        <v>26.945451563913227</v>
      </c>
      <c r="AM33" s="37" t="e">
        <f>_xlfn.XLOOKUP(Baukon[[#This Row],[LCA Datensatz]],LeitRess_Materialien[Material_UUID],#REF!)*Baukon[[#This Row],[Masse '[kg/m²'] Referenz]]</f>
        <v>#REF!</v>
      </c>
      <c r="AN33" s="37" t="e">
        <f>_xlfn.XLOOKUP(Baukon[[#This Row],[LCA Datensatz]],LeitRess_Materialien[Material_UUID],#REF!)*Baukon[[#This Row],[Masse '[kg/m²'] min]]</f>
        <v>#REF!</v>
      </c>
      <c r="AO33" s="37" t="e">
        <f>_xlfn.XLOOKUP(Baukon[[#This Row],[LCA Datensatz]],LeitRess_Materialien[Material_UUID],#REF!)*Baukon[[#This Row],[Masse '[kg/m²'] max]]</f>
        <v>#REF!</v>
      </c>
      <c r="AP33" s="37">
        <f>_xlfn.XLOOKUP(Baukon[[#This Row],[LCA Datensatz]],LeitRess_Materialien[Material_UUID],LeitRess_Materialien[WDP '[m³ weighted water/kg']])*Baukon[[#This Row],[Masse '[kg/m²'] Referenz]]</f>
        <v>1.9586296940800589</v>
      </c>
      <c r="AQ33" s="37">
        <f>_xlfn.XLOOKUP(Baukon[[#This Row],[LCA Datensatz]],LeitRess_Materialien[Material_UUID],LeitRess_Materialien[WDP '[m³ weighted water/kg']])*Baukon[[#This Row],[Masse '[kg/m²'] min]]</f>
        <v>1.9586296940800589</v>
      </c>
      <c r="AR33" s="37">
        <f>_xlfn.XLOOKUP(Baukon[[#This Row],[LCA Datensatz]],LeitRess_Materialien[Material_UUID],LeitRess_Materialien[WDP '[m³ weighted water/kg']])*Baukon[[#This Row],[Masse '[kg/m²'] max]]</f>
        <v>1.9586296940800589</v>
      </c>
      <c r="AS33" s="39">
        <f>Baukon[[#This Row],[GWP '[kg CO2-Äqu./m²'] Referenz]]/'Ausgabe Tabellen'!$C$21+Baukon[[#This Row],[PENRT '[MJ/m²'] Referenz]]/'Ausgabe Tabellen'!$C$22+Baukon[[#This Row],[RMI '[kg Primärrohstoffe/m²'] Referenz]]/'Ausgabe Tabellen'!$C$23+Baukon[[#This Row],[WDP '[m² weighted water/m²'] Referenz]]/'Ausgabe Tabellen'!$C$24</f>
        <v>1.0580831622736952E-3</v>
      </c>
      <c r="AT33" s="39">
        <f>Baukon[[#This Row],[GWP '[kg CO2-Äqu./m²'] min]]/'Ausgabe Tabellen'!$C$21+Baukon[[#This Row],[PENRT '[MJ/m²'] min]]/'Ausgabe Tabellen'!$C$22+Baukon[[#This Row],[RMI '[kg Primärrohstoffe/m²'] min]]/'Ausgabe Tabellen'!$C$23+Baukon[[#This Row],[WDP '[m² weighted water/m²'] min]]/'Ausgabe Tabellen'!$C$24</f>
        <v>1.0580831622736952E-3</v>
      </c>
      <c r="AU33" s="39">
        <f>Baukon[[#This Row],[GWP '[kg CO2-Äqu./m²'] max]]/'Ausgabe Tabellen'!$C$21+Baukon[[#This Row],[PENRT '[MJ/m²'] max]]/'Ausgabe Tabellen'!$C$22+Baukon[[#This Row],[RMI '[kg Primärrohstoffe/m²'] max]]/'Ausgabe Tabellen'!$C$23+Baukon[[#This Row],[WDP '[m² weighted water/m²'] max]]/'Ausgabe Tabellen'!$C$24</f>
        <v>1.0580831622736952E-3</v>
      </c>
    </row>
    <row r="34" spans="1:47" s="24" customFormat="1" ht="15.75" x14ac:dyDescent="0.5">
      <c r="A34" s="36" t="s">
        <v>87</v>
      </c>
      <c r="B34" s="36" t="s">
        <v>308</v>
      </c>
      <c r="C34" s="36">
        <v>1</v>
      </c>
      <c r="D34" s="36" t="s">
        <v>309</v>
      </c>
      <c r="E34" s="36" t="str">
        <f>Baukon[[#This Row],[Variante Nummer]]&amp;". "&amp;Baukon[[#This Row],[Name Baukonstruktion]]&amp;" | " &amp;Baukon[[#This Row],[Variante Name]]</f>
        <v>1. Mauerwerk, einschalig - Kalksandstein (KS) mit Dämmung | Referenz EPS</v>
      </c>
      <c r="F34" s="36" t="s">
        <v>264</v>
      </c>
      <c r="G34" s="36" t="s">
        <v>264</v>
      </c>
      <c r="H34" s="36" t="s">
        <v>225</v>
      </c>
      <c r="I34" s="41">
        <v>175</v>
      </c>
      <c r="J34" s="36">
        <f>IF(Baukon[[#This Row],[Material ist Dämmstoff?]]="ja",Baukon[[#This Row],[Dicke '[mm'] Referenz]]+_xlfn.XLOOKUP(RIGHT(Baukon[[#Headers],[Dicke '[mm'] min]],3),Dämmstoffvarianten[Variante],Dämmstoffvarianten[Differenz Dämmstoffedicke zu Referenz '[mm']]),Baukon[[#This Row],[Dicke '[mm'] Referenz]])</f>
        <v>175</v>
      </c>
      <c r="K34" s="36">
        <f>IF(Baukon[[#This Row],[Material ist Dämmstoff?]]="ja",Baukon[[#This Row],[Dicke '[mm'] Referenz]]+_xlfn.XLOOKUP(RIGHT(Baukon[[#Headers],[Dicke '[mm'] max]],3),Dämmstoffvarianten[Variante],Dämmstoffvarianten[Differenz Dämmstoffedicke zu Referenz '[mm']]),Baukon[[#This Row],[Dicke '[mm'] Referenz]])</f>
        <v>175</v>
      </c>
      <c r="L34" s="43">
        <v>1</v>
      </c>
      <c r="M34" s="41"/>
      <c r="N34" s="103">
        <f>IFERROR(Baukon[[#This Row],[Dicke '[mm'] Referenz]]/1000*Baukon[[#This Row],[Flächenanteil '[%']]],"")</f>
        <v>0.17499999999999999</v>
      </c>
      <c r="O34" s="103">
        <f>IFERROR(Baukon[[#This Row],[Dicke '[mm'] min]]/1000*Baukon[[#This Row],[Flächenanteil '[%']]],"")</f>
        <v>0.17499999999999999</v>
      </c>
      <c r="P34" s="103">
        <f>IFERROR(Baukon[[#This Row],[Dicke '[mm'] max]]/1000*Baukon[[#This Row],[Flächenanteil '[%']]],"")</f>
        <v>0.17499999999999999</v>
      </c>
      <c r="Q34"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350</v>
      </c>
      <c r="R34"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350</v>
      </c>
      <c r="S34"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350</v>
      </c>
      <c r="T34" s="42" t="s">
        <v>383</v>
      </c>
      <c r="U34" s="103" t="str">
        <f>_xlfn.XLOOKUP(Baukon[[#This Row],[Material]],LeitRess_Materialien[Name],LeitRess_Materialien[Material_UUID])</f>
        <v>29e6c6cf-0552-4e4b-85c7-26a68a625252</v>
      </c>
      <c r="V34" s="42">
        <f>_xlfn.XLOOKUP(Baukon[[#This Row],[LCA Datensatz]],LeitRess_Materialien[Material_UUID],LeitRess_Materialien[Rohdichte_'[kg/m3']])</f>
        <v>2000</v>
      </c>
      <c r="W34" s="42">
        <f>_xlfn.XLOOKUP(Baukon[[#This Row],[LCA Datensatz]],LeitRess_Materialien[Material_UUID],LeitRess_Materialien[Flächengewicht_'[kg/m2']])</f>
        <v>0</v>
      </c>
      <c r="X34" s="104">
        <f>_xlfn.XLOOKUP(Baukon[[#This Row],[LCA Datensatz]],LeitRess_Materialien[Material_UUID],LeitRess_Materialien[Längengewicht_'[kg/m']])</f>
        <v>0</v>
      </c>
      <c r="Y34" s="104">
        <f>_xlfn.XLOOKUP(Baukon[[#This Row],[LCA Datensatz]],LeitRess_Materialien[Material_UUID],LeitRess_Materialien[lambda_'[W/mK']])</f>
        <v>0.9</v>
      </c>
      <c r="Z34" s="103">
        <f>IFERROR(Baukon[[#This Row],[Dicke '[mm'] Referenz]]/Baukon[[#This Row],[lambda_'[W/mK']]],"")</f>
        <v>194.44444444444443</v>
      </c>
      <c r="AA34" s="37">
        <f>_xlfn.XLOOKUP(Baukon[[#This Row],[LCA Datensatz]],LeitRess_Materialien[Material_UUID],LeitRess_Materialien[RMI '[kg Primärrohstoffe / kg']])*Baukon[[#This Row],[Masse '[kg/m²'] Referenz]]</f>
        <v>426.25431281493201</v>
      </c>
      <c r="AB34" s="37">
        <f>_xlfn.XLOOKUP(Baukon[[#This Row],[LCA Datensatz]],LeitRess_Materialien[Material_UUID],LeitRess_Materialien[RMI '[kg Primärrohstoffe / kg']])*Baukon[[#This Row],[Masse '[kg/m²'] min]]</f>
        <v>426.25431281493201</v>
      </c>
      <c r="AC34" s="37">
        <f>_xlfn.XLOOKUP(Baukon[[#This Row],[LCA Datensatz]],LeitRess_Materialien[Material_UUID],LeitRess_Materialien[RMI '[kg Primärrohstoffe / kg']])*Baukon[[#This Row],[Masse '[kg/m²'] max]]</f>
        <v>426.25431281493201</v>
      </c>
      <c r="AD34" s="37">
        <f>_xlfn.XLOOKUP(Baukon[[#This Row],[LCA Datensatz]],LeitRess_Materialien[Material_UUID],LeitRess_Materialien[TMR '[kg Gesamtmaterialaufwand/kg']])*Baukon[[#This Row],[Masse '[kg/m²'] Referenz]]</f>
        <v>435.89904950309898</v>
      </c>
      <c r="AE34" s="37">
        <f>_xlfn.XLOOKUP(Baukon[[#This Row],[LCA Datensatz]],LeitRess_Materialien[Material_UUID],LeitRess_Materialien[TMR '[kg Gesamtmaterialaufwand/kg']])*Baukon[[#This Row],[Masse '[kg/m²'] min]]</f>
        <v>435.89904950309898</v>
      </c>
      <c r="AF34" s="37">
        <f>_xlfn.XLOOKUP(Baukon[[#This Row],[LCA Datensatz]],LeitRess_Materialien[Material_UUID],LeitRess_Materialien[TMR '[kg Gesamtmaterialaufwand/kg']])*Baukon[[#This Row],[Masse '[kg/m²'] max]]</f>
        <v>435.89904950309898</v>
      </c>
      <c r="AG34" s="37">
        <f>_xlfn.XLOOKUP(Baukon[[#This Row],[LCA Datensatz]],LeitRess_Materialien[Material_UUID],LeitRess_Materialien[GWP '[kg CO2-Äqu./kg']])*Baukon[[#This Row],[Masse '[kg/m²'] Referenz]]</f>
        <v>51.831618606228297</v>
      </c>
      <c r="AH34" s="37">
        <f>_xlfn.XLOOKUP(Baukon[[#This Row],[LCA Datensatz]],LeitRess_Materialien[Material_UUID],LeitRess_Materialien[GWP '[kg CO2-Äqu./kg']])*Baukon[[#This Row],[Masse '[kg/m²'] min]]</f>
        <v>51.831618606228297</v>
      </c>
      <c r="AI34" s="37">
        <f>_xlfn.XLOOKUP(Baukon[[#This Row],[LCA Datensatz]],LeitRess_Materialien[Material_UUID],LeitRess_Materialien[GWP '[kg CO2-Äqu./kg']])*Baukon[[#This Row],[Masse '[kg/m²'] max]]</f>
        <v>51.831618606228297</v>
      </c>
      <c r="AJ34" s="37">
        <f>_xlfn.XLOOKUP(Baukon[[#This Row],[LCA Datensatz]],LeitRess_Materialien[Material_UUID],LeitRess_Materialien[PENRT '[MJ/kg']])*Baukon[[#This Row],[Masse '[kg/m²'] Referenz]]</f>
        <v>407.24317030097745</v>
      </c>
      <c r="AK34" s="37">
        <f>_xlfn.XLOOKUP(Baukon[[#This Row],[LCA Datensatz]],LeitRess_Materialien[Material_UUID],LeitRess_Materialien[PENRT '[MJ/kg']])*Baukon[[#This Row],[Masse '[kg/m²'] min]]</f>
        <v>407.24317030097745</v>
      </c>
      <c r="AL34" s="37">
        <f>_xlfn.XLOOKUP(Baukon[[#This Row],[LCA Datensatz]],LeitRess_Materialien[Material_UUID],LeitRess_Materialien[PENRT '[MJ/kg']])*Baukon[[#This Row],[Masse '[kg/m²'] max]]</f>
        <v>407.24317030097745</v>
      </c>
      <c r="AM34" s="37" t="e">
        <f>_xlfn.XLOOKUP(Baukon[[#This Row],[LCA Datensatz]],LeitRess_Materialien[Material_UUID],#REF!)*Baukon[[#This Row],[Masse '[kg/m²'] Referenz]]</f>
        <v>#REF!</v>
      </c>
      <c r="AN34" s="37" t="e">
        <f>_xlfn.XLOOKUP(Baukon[[#This Row],[LCA Datensatz]],LeitRess_Materialien[Material_UUID],#REF!)*Baukon[[#This Row],[Masse '[kg/m²'] min]]</f>
        <v>#REF!</v>
      </c>
      <c r="AO34" s="37" t="e">
        <f>_xlfn.XLOOKUP(Baukon[[#This Row],[LCA Datensatz]],LeitRess_Materialien[Material_UUID],#REF!)*Baukon[[#This Row],[Masse '[kg/m²'] max]]</f>
        <v>#REF!</v>
      </c>
      <c r="AP34" s="37">
        <f>_xlfn.XLOOKUP(Baukon[[#This Row],[LCA Datensatz]],LeitRess_Materialien[Material_UUID],LeitRess_Materialien[WDP '[m³ weighted water/kg']])*Baukon[[#This Row],[Masse '[kg/m²'] Referenz]]</f>
        <v>22.186027049375522</v>
      </c>
      <c r="AQ34" s="37">
        <f>_xlfn.XLOOKUP(Baukon[[#This Row],[LCA Datensatz]],LeitRess_Materialien[Material_UUID],LeitRess_Materialien[WDP '[m³ weighted water/kg']])*Baukon[[#This Row],[Masse '[kg/m²'] min]]</f>
        <v>22.186027049375522</v>
      </c>
      <c r="AR34" s="37">
        <f>_xlfn.XLOOKUP(Baukon[[#This Row],[LCA Datensatz]],LeitRess_Materialien[Material_UUID],LeitRess_Materialien[WDP '[m³ weighted water/kg']])*Baukon[[#This Row],[Masse '[kg/m²'] max]]</f>
        <v>22.186027049375522</v>
      </c>
      <c r="AS34" s="39">
        <f>Baukon[[#This Row],[GWP '[kg CO2-Äqu./m²'] Referenz]]/'Ausgabe Tabellen'!$C$21+Baukon[[#This Row],[PENRT '[MJ/m²'] Referenz]]/'Ausgabe Tabellen'!$C$22+Baukon[[#This Row],[RMI '[kg Primärrohstoffe/m²'] Referenz]]/'Ausgabe Tabellen'!$C$23+Baukon[[#This Row],[WDP '[m² weighted water/m²'] Referenz]]/'Ausgabe Tabellen'!$C$24</f>
        <v>2.1260334404191505E-2</v>
      </c>
      <c r="AT34" s="39">
        <f>Baukon[[#This Row],[GWP '[kg CO2-Äqu./m²'] min]]/'Ausgabe Tabellen'!$C$21+Baukon[[#This Row],[PENRT '[MJ/m²'] min]]/'Ausgabe Tabellen'!$C$22+Baukon[[#This Row],[RMI '[kg Primärrohstoffe/m²'] min]]/'Ausgabe Tabellen'!$C$23+Baukon[[#This Row],[WDP '[m² weighted water/m²'] min]]/'Ausgabe Tabellen'!$C$24</f>
        <v>2.1260334404191505E-2</v>
      </c>
      <c r="AU34" s="39">
        <f>Baukon[[#This Row],[GWP '[kg CO2-Äqu./m²'] max]]/'Ausgabe Tabellen'!$C$21+Baukon[[#This Row],[PENRT '[MJ/m²'] max]]/'Ausgabe Tabellen'!$C$22+Baukon[[#This Row],[RMI '[kg Primärrohstoffe/m²'] max]]/'Ausgabe Tabellen'!$C$23+Baukon[[#This Row],[WDP '[m² weighted water/m²'] max]]/'Ausgabe Tabellen'!$C$24</f>
        <v>2.1260334404191505E-2</v>
      </c>
    </row>
    <row r="35" spans="1:47" s="24" customFormat="1" ht="15.75" x14ac:dyDescent="0.5">
      <c r="A35" s="36" t="s">
        <v>87</v>
      </c>
      <c r="B35" s="36" t="s">
        <v>311</v>
      </c>
      <c r="C35" s="36">
        <v>4</v>
      </c>
      <c r="D35" s="36" t="s">
        <v>312</v>
      </c>
      <c r="E35" s="36" t="str">
        <f>Baukon[[#This Row],[Variante Nummer]]&amp;". "&amp;Baukon[[#This Row],[Name Baukonstruktion]]&amp;" | " &amp;Baukon[[#This Row],[Variante Name]]</f>
        <v>4. Mauerwerk, einschalig - Hochlochziegel (HLZ) | Referenz MiWo</v>
      </c>
      <c r="F35" s="36" t="s">
        <v>331</v>
      </c>
      <c r="G35" s="36" t="s">
        <v>227</v>
      </c>
      <c r="H35" s="36" t="s">
        <v>228</v>
      </c>
      <c r="I35" s="41">
        <v>120</v>
      </c>
      <c r="J35" s="36">
        <f>IF(Baukon[[#This Row],[Material ist Dämmstoff?]]="ja",Baukon[[#This Row],[Dicke '[mm'] Referenz]]+_xlfn.XLOOKUP(RIGHT(Baukon[[#Headers],[Dicke '[mm'] min]],3),Dämmstoffvarianten[Variante],Dämmstoffvarianten[Differenz Dämmstoffedicke zu Referenz '[mm']]),Baukon[[#This Row],[Dicke '[mm'] Referenz]])</f>
        <v>80</v>
      </c>
      <c r="K35" s="36">
        <f>IF(Baukon[[#This Row],[Material ist Dämmstoff?]]="ja",Baukon[[#This Row],[Dicke '[mm'] Referenz]]+_xlfn.XLOOKUP(RIGHT(Baukon[[#Headers],[Dicke '[mm'] max]],3),Dämmstoffvarianten[Variante],Dämmstoffvarianten[Differenz Dämmstoffedicke zu Referenz '[mm']]),Baukon[[#This Row],[Dicke '[mm'] Referenz]])</f>
        <v>200</v>
      </c>
      <c r="L35" s="43">
        <v>1</v>
      </c>
      <c r="M35" s="41"/>
      <c r="N35" s="103">
        <f>IFERROR(Baukon[[#This Row],[Dicke '[mm'] Referenz]]/1000*Baukon[[#This Row],[Flächenanteil '[%']]],"")</f>
        <v>0.12</v>
      </c>
      <c r="O35" s="103">
        <f>IFERROR(Baukon[[#This Row],[Dicke '[mm'] min]]/1000*Baukon[[#This Row],[Flächenanteil '[%']]],"")</f>
        <v>0.08</v>
      </c>
      <c r="P35" s="103">
        <f>IFERROR(Baukon[[#This Row],[Dicke '[mm'] max]]/1000*Baukon[[#This Row],[Flächenanteil '[%']]],"")</f>
        <v>0.2</v>
      </c>
      <c r="Q35"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5.55</v>
      </c>
      <c r="R35"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3.7</v>
      </c>
      <c r="S35"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9.25</v>
      </c>
      <c r="T35" s="42" t="s">
        <v>227</v>
      </c>
      <c r="U35" s="103" t="str">
        <f>_xlfn.XLOOKUP(Baukon[[#This Row],[Material]],LeitRess_Materialien[Name],LeitRess_Materialien[Material_UUID])</f>
        <v>f8afef87-5de3-4996-838c-1f2af9ef81df</v>
      </c>
      <c r="V35" s="42">
        <f>_xlfn.XLOOKUP(Baukon[[#This Row],[LCA Datensatz]],LeitRess_Materialien[Material_UUID],LeitRess_Materialien[Rohdichte_'[kg/m3']])</f>
        <v>46.25</v>
      </c>
      <c r="W35" s="42">
        <f>_xlfn.XLOOKUP(Baukon[[#This Row],[LCA Datensatz]],LeitRess_Materialien[Material_UUID],LeitRess_Materialien[Flächengewicht_'[kg/m2']])</f>
        <v>0</v>
      </c>
      <c r="X35" s="104">
        <f>_xlfn.XLOOKUP(Baukon[[#This Row],[LCA Datensatz]],LeitRess_Materialien[Material_UUID],LeitRess_Materialien[Längengewicht_'[kg/m']])</f>
        <v>0</v>
      </c>
      <c r="Y35" s="104">
        <f>_xlfn.XLOOKUP(Baukon[[#This Row],[LCA Datensatz]],LeitRess_Materialien[Material_UUID],LeitRess_Materialien[lambda_'[W/mK']])</f>
        <v>4.2000000000000003E-2</v>
      </c>
      <c r="Z35" s="103">
        <f>IFERROR(Baukon[[#This Row],[Dicke '[mm'] Referenz]]/Baukon[[#This Row],[lambda_'[W/mK']]],"")</f>
        <v>2857.1428571428569</v>
      </c>
      <c r="AA35" s="37">
        <f>_xlfn.XLOOKUP(Baukon[[#This Row],[LCA Datensatz]],LeitRess_Materialien[Material_UUID],LeitRess_Materialien[RMI '[kg Primärrohstoffe / kg']])*Baukon[[#This Row],[Masse '[kg/m²'] Referenz]]</f>
        <v>10.695183985712411</v>
      </c>
      <c r="AB35" s="37">
        <f>_xlfn.XLOOKUP(Baukon[[#This Row],[LCA Datensatz]],LeitRess_Materialien[Material_UUID],LeitRess_Materialien[RMI '[kg Primärrohstoffe / kg']])*Baukon[[#This Row],[Masse '[kg/m²'] min]]</f>
        <v>7.1301226571416088</v>
      </c>
      <c r="AC35" s="37">
        <f>_xlfn.XLOOKUP(Baukon[[#This Row],[LCA Datensatz]],LeitRess_Materialien[Material_UUID],LeitRess_Materialien[RMI '[kg Primärrohstoffe / kg']])*Baukon[[#This Row],[Masse '[kg/m²'] max]]</f>
        <v>17.82530664285402</v>
      </c>
      <c r="AD35" s="37">
        <f>_xlfn.XLOOKUP(Baukon[[#This Row],[LCA Datensatz]],LeitRess_Materialien[Material_UUID],LeitRess_Materialien[TMR '[kg Gesamtmaterialaufwand/kg']])*Baukon[[#This Row],[Masse '[kg/m²'] Referenz]]</f>
        <v>12.97922231021659</v>
      </c>
      <c r="AE35" s="37">
        <f>_xlfn.XLOOKUP(Baukon[[#This Row],[LCA Datensatz]],LeitRess_Materialien[Material_UUID],LeitRess_Materialien[TMR '[kg Gesamtmaterialaufwand/kg']])*Baukon[[#This Row],[Masse '[kg/m²'] min]]</f>
        <v>8.6528148734777286</v>
      </c>
      <c r="AF35" s="37">
        <f>_xlfn.XLOOKUP(Baukon[[#This Row],[LCA Datensatz]],LeitRess_Materialien[Material_UUID],LeitRess_Materialien[TMR '[kg Gesamtmaterialaufwand/kg']])*Baukon[[#This Row],[Masse '[kg/m²'] max]]</f>
        <v>21.632037183694319</v>
      </c>
      <c r="AG35" s="37">
        <f>_xlfn.XLOOKUP(Baukon[[#This Row],[LCA Datensatz]],LeitRess_Materialien[Material_UUID],LeitRess_Materialien[GWP '[kg CO2-Äqu./kg']])*Baukon[[#This Row],[Masse '[kg/m²'] Referenz]]</f>
        <v>5.4935611125903199</v>
      </c>
      <c r="AH35" s="37">
        <f>_xlfn.XLOOKUP(Baukon[[#This Row],[LCA Datensatz]],LeitRess_Materialien[Material_UUID],LeitRess_Materialien[GWP '[kg CO2-Äqu./kg']])*Baukon[[#This Row],[Masse '[kg/m²'] min]]</f>
        <v>3.6623740750602138</v>
      </c>
      <c r="AI35" s="37">
        <f>_xlfn.XLOOKUP(Baukon[[#This Row],[LCA Datensatz]],LeitRess_Materialien[Material_UUID],LeitRess_Materialien[GWP '[kg CO2-Äqu./kg']])*Baukon[[#This Row],[Masse '[kg/m²'] max]]</f>
        <v>9.1559351876505346</v>
      </c>
      <c r="AJ35" s="37">
        <f>_xlfn.XLOOKUP(Baukon[[#This Row],[LCA Datensatz]],LeitRess_Materialien[Material_UUID],LeitRess_Materialien[PENRT '[MJ/kg']])*Baukon[[#This Row],[Masse '[kg/m²'] Referenz]]</f>
        <v>118.07336116942452</v>
      </c>
      <c r="AK35" s="37">
        <f>_xlfn.XLOOKUP(Baukon[[#This Row],[LCA Datensatz]],LeitRess_Materialien[Material_UUID],LeitRess_Materialien[PENRT '[MJ/kg']])*Baukon[[#This Row],[Masse '[kg/m²'] min]]</f>
        <v>78.715574112949682</v>
      </c>
      <c r="AL35" s="37">
        <f>_xlfn.XLOOKUP(Baukon[[#This Row],[LCA Datensatz]],LeitRess_Materialien[Material_UUID],LeitRess_Materialien[PENRT '[MJ/kg']])*Baukon[[#This Row],[Masse '[kg/m²'] max]]</f>
        <v>196.78893528237421</v>
      </c>
      <c r="AM35" s="37" t="e">
        <f>_xlfn.XLOOKUP(Baukon[[#This Row],[LCA Datensatz]],LeitRess_Materialien[Material_UUID],#REF!)*Baukon[[#This Row],[Masse '[kg/m²'] Referenz]]</f>
        <v>#REF!</v>
      </c>
      <c r="AN35" s="37" t="e">
        <f>_xlfn.XLOOKUP(Baukon[[#This Row],[LCA Datensatz]],LeitRess_Materialien[Material_UUID],#REF!)*Baukon[[#This Row],[Masse '[kg/m²'] min]]</f>
        <v>#REF!</v>
      </c>
      <c r="AO35" s="37" t="e">
        <f>_xlfn.XLOOKUP(Baukon[[#This Row],[LCA Datensatz]],LeitRess_Materialien[Material_UUID],#REF!)*Baukon[[#This Row],[Masse '[kg/m²'] max]]</f>
        <v>#REF!</v>
      </c>
      <c r="AP35" s="37">
        <f>_xlfn.XLOOKUP(Baukon[[#This Row],[LCA Datensatz]],LeitRess_Materialien[Material_UUID],LeitRess_Materialien[WDP '[m³ weighted water/kg']])*Baukon[[#This Row],[Masse '[kg/m²'] Referenz]]</f>
        <v>6.0144984071618559</v>
      </c>
      <c r="AQ35" s="37">
        <f>_xlfn.XLOOKUP(Baukon[[#This Row],[LCA Datensatz]],LeitRess_Materialien[Material_UUID],LeitRess_Materialien[WDP '[m³ weighted water/kg']])*Baukon[[#This Row],[Masse '[kg/m²'] min]]</f>
        <v>4.0096656047745709</v>
      </c>
      <c r="AR35" s="37">
        <f>_xlfn.XLOOKUP(Baukon[[#This Row],[LCA Datensatz]],LeitRess_Materialien[Material_UUID],LeitRess_Materialien[WDP '[m³ weighted water/kg']])*Baukon[[#This Row],[Masse '[kg/m²'] max]]</f>
        <v>10.024164011936426</v>
      </c>
      <c r="AS35" s="39">
        <f>Baukon[[#This Row],[GWP '[kg CO2-Äqu./m²'] Referenz]]/'Ausgabe Tabellen'!$C$21+Baukon[[#This Row],[PENRT '[MJ/m²'] Referenz]]/'Ausgabe Tabellen'!$C$22+Baukon[[#This Row],[RMI '[kg Primärrohstoffe/m²'] Referenz]]/'Ausgabe Tabellen'!$C$23+Baukon[[#This Row],[WDP '[m² weighted water/m²'] Referenz]]/'Ausgabe Tabellen'!$C$24</f>
        <v>2.1674690482342586E-3</v>
      </c>
      <c r="AT35" s="39">
        <f>Baukon[[#This Row],[GWP '[kg CO2-Äqu./m²'] min]]/'Ausgabe Tabellen'!$C$21+Baukon[[#This Row],[PENRT '[MJ/m²'] min]]/'Ausgabe Tabellen'!$C$22+Baukon[[#This Row],[RMI '[kg Primärrohstoffe/m²'] min]]/'Ausgabe Tabellen'!$C$23+Baukon[[#This Row],[WDP '[m² weighted water/m²'] min]]/'Ausgabe Tabellen'!$C$24</f>
        <v>1.4449793654895062E-3</v>
      </c>
      <c r="AU35" s="39">
        <f>Baukon[[#This Row],[GWP '[kg CO2-Äqu./m²'] max]]/'Ausgabe Tabellen'!$C$21+Baukon[[#This Row],[PENRT '[MJ/m²'] max]]/'Ausgabe Tabellen'!$C$22+Baukon[[#This Row],[RMI '[kg Primärrohstoffe/m²'] max]]/'Ausgabe Tabellen'!$C$23+Baukon[[#This Row],[WDP '[m² weighted water/m²'] max]]/'Ausgabe Tabellen'!$C$24</f>
        <v>3.6124484137237648E-3</v>
      </c>
    </row>
    <row r="36" spans="1:47" s="24" customFormat="1" ht="15.75" x14ac:dyDescent="0.5">
      <c r="A36" s="36" t="s">
        <v>87</v>
      </c>
      <c r="B36" s="36" t="s">
        <v>311</v>
      </c>
      <c r="C36" s="36">
        <v>4</v>
      </c>
      <c r="D36" s="36" t="s">
        <v>312</v>
      </c>
      <c r="E36" s="36" t="str">
        <f>Baukon[[#This Row],[Variante Nummer]]&amp;". "&amp;Baukon[[#This Row],[Name Baukonstruktion]]&amp;" | " &amp;Baukon[[#This Row],[Variante Name]]</f>
        <v>4. Mauerwerk, einschalig - Hochlochziegel (HLZ) | Referenz MiWo</v>
      </c>
      <c r="F36" s="36" t="s">
        <v>310</v>
      </c>
      <c r="G36" s="36" t="s">
        <v>252</v>
      </c>
      <c r="H36" s="36" t="s">
        <v>225</v>
      </c>
      <c r="I36" s="41">
        <v>15</v>
      </c>
      <c r="J36" s="36">
        <f>IF(Baukon[[#This Row],[Material ist Dämmstoff?]]="ja",Baukon[[#This Row],[Dicke '[mm'] Referenz]]+_xlfn.XLOOKUP(RIGHT(Baukon[[#Headers],[Dicke '[mm'] min]],3),Dämmstoffvarianten[Variante],Dämmstoffvarianten[Differenz Dämmstoffedicke zu Referenz '[mm']]),Baukon[[#This Row],[Dicke '[mm'] Referenz]])</f>
        <v>15</v>
      </c>
      <c r="K36" s="36">
        <f>IF(Baukon[[#This Row],[Material ist Dämmstoff?]]="ja",Baukon[[#This Row],[Dicke '[mm'] Referenz]]+_xlfn.XLOOKUP(RIGHT(Baukon[[#Headers],[Dicke '[mm'] max]],3),Dämmstoffvarianten[Variante],Dämmstoffvarianten[Differenz Dämmstoffedicke zu Referenz '[mm']]),Baukon[[#This Row],[Dicke '[mm'] Referenz]])</f>
        <v>15</v>
      </c>
      <c r="L36" s="43">
        <v>1</v>
      </c>
      <c r="M36" s="41"/>
      <c r="N36" s="103">
        <f>IFERROR(Baukon[[#This Row],[Dicke '[mm'] Referenz]]/1000*Baukon[[#This Row],[Flächenanteil '[%']]],"")</f>
        <v>1.4999999999999999E-2</v>
      </c>
      <c r="O36" s="103">
        <f>IFERROR(Baukon[[#This Row],[Dicke '[mm'] min]]/1000*Baukon[[#This Row],[Flächenanteil '[%']]],"")</f>
        <v>1.4999999999999999E-2</v>
      </c>
      <c r="P36" s="103">
        <f>IFERROR(Baukon[[#This Row],[Dicke '[mm'] max]]/1000*Baukon[[#This Row],[Flächenanteil '[%']]],"")</f>
        <v>1.4999999999999999E-2</v>
      </c>
      <c r="Q36"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15.75</v>
      </c>
      <c r="R36"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15.75</v>
      </c>
      <c r="S36"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15.75</v>
      </c>
      <c r="T36" s="42" t="s">
        <v>226</v>
      </c>
      <c r="U36" s="103" t="str">
        <f>_xlfn.XLOOKUP(Baukon[[#This Row],[Material]],LeitRess_Materialien[Name],LeitRess_Materialien[Material_UUID])</f>
        <v>07f3cd13-22bb-494d-803a-f0a440fbce7a</v>
      </c>
      <c r="V36" s="42">
        <f>_xlfn.XLOOKUP(Baukon[[#This Row],[LCA Datensatz]],LeitRess_Materialien[Material_UUID],LeitRess_Materialien[Rohdichte_'[kg/m3']])</f>
        <v>1050</v>
      </c>
      <c r="W36" s="42">
        <f>_xlfn.XLOOKUP(Baukon[[#This Row],[LCA Datensatz]],LeitRess_Materialien[Material_UUID],LeitRess_Materialien[Flächengewicht_'[kg/m2']])</f>
        <v>0</v>
      </c>
      <c r="X36" s="104">
        <f>_xlfn.XLOOKUP(Baukon[[#This Row],[LCA Datensatz]],LeitRess_Materialien[Material_UUID],LeitRess_Materialien[Längengewicht_'[kg/m']])</f>
        <v>0</v>
      </c>
      <c r="Y36" s="104">
        <f>_xlfn.XLOOKUP(Baukon[[#This Row],[LCA Datensatz]],LeitRess_Materialien[Material_UUID],LeitRess_Materialien[lambda_'[W/mK']])</f>
        <v>1</v>
      </c>
      <c r="Z36" s="103">
        <f>IFERROR(Baukon[[#This Row],[Dicke '[mm'] Referenz]]/Baukon[[#This Row],[lambda_'[W/mK']]],"")</f>
        <v>15</v>
      </c>
      <c r="AA36" s="37">
        <f>_xlfn.XLOOKUP(Baukon[[#This Row],[LCA Datensatz]],LeitRess_Materialien[Material_UUID],LeitRess_Materialien[RMI '[kg Primärrohstoffe / kg']])*Baukon[[#This Row],[Masse '[kg/m²'] Referenz]]</f>
        <v>19.102641975961582</v>
      </c>
      <c r="AB36" s="37">
        <f>_xlfn.XLOOKUP(Baukon[[#This Row],[LCA Datensatz]],LeitRess_Materialien[Material_UUID],LeitRess_Materialien[RMI '[kg Primärrohstoffe / kg']])*Baukon[[#This Row],[Masse '[kg/m²'] min]]</f>
        <v>19.102641975961582</v>
      </c>
      <c r="AC36" s="37">
        <f>_xlfn.XLOOKUP(Baukon[[#This Row],[LCA Datensatz]],LeitRess_Materialien[Material_UUID],LeitRess_Materialien[RMI '[kg Primärrohstoffe / kg']])*Baukon[[#This Row],[Masse '[kg/m²'] max]]</f>
        <v>19.102641975961582</v>
      </c>
      <c r="AD36" s="37">
        <f>_xlfn.XLOOKUP(Baukon[[#This Row],[LCA Datensatz]],LeitRess_Materialien[Material_UUID],LeitRess_Materialien[TMR '[kg Gesamtmaterialaufwand/kg']])*Baukon[[#This Row],[Masse '[kg/m²'] Referenz]]</f>
        <v>19.894952377912816</v>
      </c>
      <c r="AE36" s="37">
        <f>_xlfn.XLOOKUP(Baukon[[#This Row],[LCA Datensatz]],LeitRess_Materialien[Material_UUID],LeitRess_Materialien[TMR '[kg Gesamtmaterialaufwand/kg']])*Baukon[[#This Row],[Masse '[kg/m²'] min]]</f>
        <v>19.894952377912816</v>
      </c>
      <c r="AF36" s="37">
        <f>_xlfn.XLOOKUP(Baukon[[#This Row],[LCA Datensatz]],LeitRess_Materialien[Material_UUID],LeitRess_Materialien[TMR '[kg Gesamtmaterialaufwand/kg']])*Baukon[[#This Row],[Masse '[kg/m²'] max]]</f>
        <v>19.894952377912816</v>
      </c>
      <c r="AG36" s="37">
        <f>_xlfn.XLOOKUP(Baukon[[#This Row],[LCA Datensatz]],LeitRess_Materialien[Material_UUID],LeitRess_Materialien[GWP '[kg CO2-Äqu./kg']])*Baukon[[#This Row],[Masse '[kg/m²'] Referenz]]</f>
        <v>1.8596920563101473</v>
      </c>
      <c r="AH36" s="37">
        <f>_xlfn.XLOOKUP(Baukon[[#This Row],[LCA Datensatz]],LeitRess_Materialien[Material_UUID],LeitRess_Materialien[GWP '[kg CO2-Äqu./kg']])*Baukon[[#This Row],[Masse '[kg/m²'] min]]</f>
        <v>1.8596920563101473</v>
      </c>
      <c r="AI36" s="37">
        <f>_xlfn.XLOOKUP(Baukon[[#This Row],[LCA Datensatz]],LeitRess_Materialien[Material_UUID],LeitRess_Materialien[GWP '[kg CO2-Äqu./kg']])*Baukon[[#This Row],[Masse '[kg/m²'] max]]</f>
        <v>1.8596920563101473</v>
      </c>
      <c r="AJ36" s="37">
        <f>_xlfn.XLOOKUP(Baukon[[#This Row],[LCA Datensatz]],LeitRess_Materialien[Material_UUID],LeitRess_Materialien[PENRT '[MJ/kg']])*Baukon[[#This Row],[Masse '[kg/m²'] Referenz]]</f>
        <v>26.945451563913227</v>
      </c>
      <c r="AK36" s="37">
        <f>_xlfn.XLOOKUP(Baukon[[#This Row],[LCA Datensatz]],LeitRess_Materialien[Material_UUID],LeitRess_Materialien[PENRT '[MJ/kg']])*Baukon[[#This Row],[Masse '[kg/m²'] min]]</f>
        <v>26.945451563913227</v>
      </c>
      <c r="AL36" s="37">
        <f>_xlfn.XLOOKUP(Baukon[[#This Row],[LCA Datensatz]],LeitRess_Materialien[Material_UUID],LeitRess_Materialien[PENRT '[MJ/kg']])*Baukon[[#This Row],[Masse '[kg/m²'] max]]</f>
        <v>26.945451563913227</v>
      </c>
      <c r="AM36" s="37" t="e">
        <f>_xlfn.XLOOKUP(Baukon[[#This Row],[LCA Datensatz]],LeitRess_Materialien[Material_UUID],#REF!)*Baukon[[#This Row],[Masse '[kg/m²'] Referenz]]</f>
        <v>#REF!</v>
      </c>
      <c r="AN36" s="37" t="e">
        <f>_xlfn.XLOOKUP(Baukon[[#This Row],[LCA Datensatz]],LeitRess_Materialien[Material_UUID],#REF!)*Baukon[[#This Row],[Masse '[kg/m²'] min]]</f>
        <v>#REF!</v>
      </c>
      <c r="AO36" s="37" t="e">
        <f>_xlfn.XLOOKUP(Baukon[[#This Row],[LCA Datensatz]],LeitRess_Materialien[Material_UUID],#REF!)*Baukon[[#This Row],[Masse '[kg/m²'] max]]</f>
        <v>#REF!</v>
      </c>
      <c r="AP36" s="37">
        <f>_xlfn.XLOOKUP(Baukon[[#This Row],[LCA Datensatz]],LeitRess_Materialien[Material_UUID],LeitRess_Materialien[WDP '[m³ weighted water/kg']])*Baukon[[#This Row],[Masse '[kg/m²'] Referenz]]</f>
        <v>1.9586296940800589</v>
      </c>
      <c r="AQ36" s="37">
        <f>_xlfn.XLOOKUP(Baukon[[#This Row],[LCA Datensatz]],LeitRess_Materialien[Material_UUID],LeitRess_Materialien[WDP '[m³ weighted water/kg']])*Baukon[[#This Row],[Masse '[kg/m²'] min]]</f>
        <v>1.9586296940800589</v>
      </c>
      <c r="AR36" s="37">
        <f>_xlfn.XLOOKUP(Baukon[[#This Row],[LCA Datensatz]],LeitRess_Materialien[Material_UUID],LeitRess_Materialien[WDP '[m³ weighted water/kg']])*Baukon[[#This Row],[Masse '[kg/m²'] max]]</f>
        <v>1.9586296940800589</v>
      </c>
      <c r="AS36" s="39">
        <f>Baukon[[#This Row],[GWP '[kg CO2-Äqu./m²'] Referenz]]/'Ausgabe Tabellen'!$C$21+Baukon[[#This Row],[PENRT '[MJ/m²'] Referenz]]/'Ausgabe Tabellen'!$C$22+Baukon[[#This Row],[RMI '[kg Primärrohstoffe/m²'] Referenz]]/'Ausgabe Tabellen'!$C$23+Baukon[[#This Row],[WDP '[m² weighted water/m²'] Referenz]]/'Ausgabe Tabellen'!$C$24</f>
        <v>1.0580831622736952E-3</v>
      </c>
      <c r="AT36" s="39">
        <f>Baukon[[#This Row],[GWP '[kg CO2-Äqu./m²'] min]]/'Ausgabe Tabellen'!$C$21+Baukon[[#This Row],[PENRT '[MJ/m²'] min]]/'Ausgabe Tabellen'!$C$22+Baukon[[#This Row],[RMI '[kg Primärrohstoffe/m²'] min]]/'Ausgabe Tabellen'!$C$23+Baukon[[#This Row],[WDP '[m² weighted water/m²'] min]]/'Ausgabe Tabellen'!$C$24</f>
        <v>1.0580831622736952E-3</v>
      </c>
      <c r="AU36" s="39">
        <f>Baukon[[#This Row],[GWP '[kg CO2-Äqu./m²'] max]]/'Ausgabe Tabellen'!$C$21+Baukon[[#This Row],[PENRT '[MJ/m²'] max]]/'Ausgabe Tabellen'!$C$22+Baukon[[#This Row],[RMI '[kg Primärrohstoffe/m²'] max]]/'Ausgabe Tabellen'!$C$23+Baukon[[#This Row],[WDP '[m² weighted water/m²'] max]]/'Ausgabe Tabellen'!$C$24</f>
        <v>1.0580831622736952E-3</v>
      </c>
    </row>
    <row r="37" spans="1:47" s="24" customFormat="1" ht="15.75" x14ac:dyDescent="0.5">
      <c r="A37" s="36" t="s">
        <v>87</v>
      </c>
      <c r="B37" s="36" t="s">
        <v>311</v>
      </c>
      <c r="C37" s="36">
        <v>4</v>
      </c>
      <c r="D37" s="36" t="s">
        <v>312</v>
      </c>
      <c r="E37" s="36" t="str">
        <f>Baukon[[#This Row],[Variante Nummer]]&amp;". "&amp;Baukon[[#This Row],[Name Baukonstruktion]]&amp;" | " &amp;Baukon[[#This Row],[Variante Name]]</f>
        <v>4. Mauerwerk, einschalig - Hochlochziegel (HLZ) | Referenz MiWo</v>
      </c>
      <c r="F37" s="36" t="s">
        <v>328</v>
      </c>
      <c r="G37" s="36" t="s">
        <v>266</v>
      </c>
      <c r="H37" s="36" t="s">
        <v>225</v>
      </c>
      <c r="I37" s="41">
        <v>240</v>
      </c>
      <c r="J37" s="36">
        <f>IF(Baukon[[#This Row],[Material ist Dämmstoff?]]="ja",Baukon[[#This Row],[Dicke '[mm'] Referenz]]+_xlfn.XLOOKUP(RIGHT(Baukon[[#Headers],[Dicke '[mm'] min]],3),Dämmstoffvarianten[Variante],Dämmstoffvarianten[Differenz Dämmstoffedicke zu Referenz '[mm']]),Baukon[[#This Row],[Dicke '[mm'] Referenz]])</f>
        <v>240</v>
      </c>
      <c r="K37" s="36">
        <f>IF(Baukon[[#This Row],[Material ist Dämmstoff?]]="ja",Baukon[[#This Row],[Dicke '[mm'] Referenz]]+_xlfn.XLOOKUP(RIGHT(Baukon[[#Headers],[Dicke '[mm'] max]],3),Dämmstoffvarianten[Variante],Dämmstoffvarianten[Differenz Dämmstoffedicke zu Referenz '[mm']]),Baukon[[#This Row],[Dicke '[mm'] Referenz]])</f>
        <v>240</v>
      </c>
      <c r="L37" s="43">
        <v>1</v>
      </c>
      <c r="M37" s="41"/>
      <c r="N37" s="103">
        <f>IFERROR(Baukon[[#This Row],[Dicke '[mm'] Referenz]]/1000*Baukon[[#This Row],[Flächenanteil '[%']]],"")</f>
        <v>0.24</v>
      </c>
      <c r="O37" s="103">
        <f>IFERROR(Baukon[[#This Row],[Dicke '[mm'] min]]/1000*Baukon[[#This Row],[Flächenanteil '[%']]],"")</f>
        <v>0.24</v>
      </c>
      <c r="P37" s="103">
        <f>IFERROR(Baukon[[#This Row],[Dicke '[mm'] max]]/1000*Baukon[[#This Row],[Flächenanteil '[%']]],"")</f>
        <v>0.24</v>
      </c>
      <c r="Q37"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138</v>
      </c>
      <c r="R37"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138</v>
      </c>
      <c r="S37"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138</v>
      </c>
      <c r="T37" s="42" t="s">
        <v>389</v>
      </c>
      <c r="U37" s="103" t="str">
        <f>_xlfn.XLOOKUP(Baukon[[#This Row],[Material]],LeitRess_Materialien[Name],LeitRess_Materialien[Material_UUID])</f>
        <v>08dd0308-eebf-4db1-82ee-b340d070c9b9</v>
      </c>
      <c r="V37" s="42">
        <f>_xlfn.XLOOKUP(Baukon[[#This Row],[LCA Datensatz]],LeitRess_Materialien[Material_UUID],LeitRess_Materialien[Rohdichte_'[kg/m3']])</f>
        <v>575</v>
      </c>
      <c r="W37" s="42">
        <f>_xlfn.XLOOKUP(Baukon[[#This Row],[LCA Datensatz]],LeitRess_Materialien[Material_UUID],LeitRess_Materialien[Flächengewicht_'[kg/m2']])</f>
        <v>0</v>
      </c>
      <c r="X37" s="104">
        <f>_xlfn.XLOOKUP(Baukon[[#This Row],[LCA Datensatz]],LeitRess_Materialien[Material_UUID],LeitRess_Materialien[Längengewicht_'[kg/m']])</f>
        <v>0</v>
      </c>
      <c r="Y37" s="104">
        <f>_xlfn.XLOOKUP(Baukon[[#This Row],[LCA Datensatz]],LeitRess_Materialien[Material_UUID],LeitRess_Materialien[lambda_'[W/mK']])</f>
        <v>1.1000000000000001</v>
      </c>
      <c r="Z37" s="103">
        <f>IFERROR(Baukon[[#This Row],[Dicke '[mm'] Referenz]]/Baukon[[#This Row],[lambda_'[W/mK']]],"")</f>
        <v>218.18181818181816</v>
      </c>
      <c r="AA37" s="37">
        <f>_xlfn.XLOOKUP(Baukon[[#This Row],[LCA Datensatz]],LeitRess_Materialien[Material_UUID],LeitRess_Materialien[RMI '[kg Primärrohstoffe / kg']])*Baukon[[#This Row],[Masse '[kg/m²'] Referenz]]</f>
        <v>208.37308201480639</v>
      </c>
      <c r="AB37" s="37">
        <f>_xlfn.XLOOKUP(Baukon[[#This Row],[LCA Datensatz]],LeitRess_Materialien[Material_UUID],LeitRess_Materialien[RMI '[kg Primärrohstoffe / kg']])*Baukon[[#This Row],[Masse '[kg/m²'] min]]</f>
        <v>208.37308201480639</v>
      </c>
      <c r="AC37" s="37">
        <f>_xlfn.XLOOKUP(Baukon[[#This Row],[LCA Datensatz]],LeitRess_Materialien[Material_UUID],LeitRess_Materialien[RMI '[kg Primärrohstoffe / kg']])*Baukon[[#This Row],[Masse '[kg/m²'] max]]</f>
        <v>208.37308201480639</v>
      </c>
      <c r="AD37" s="37">
        <f>_xlfn.XLOOKUP(Baukon[[#This Row],[LCA Datensatz]],LeitRess_Materialien[Material_UUID],LeitRess_Materialien[TMR '[kg Gesamtmaterialaufwand/kg']])*Baukon[[#This Row],[Masse '[kg/m²'] Referenz]]</f>
        <v>454.73860772828544</v>
      </c>
      <c r="AE37" s="37">
        <f>_xlfn.XLOOKUP(Baukon[[#This Row],[LCA Datensatz]],LeitRess_Materialien[Material_UUID],LeitRess_Materialien[TMR '[kg Gesamtmaterialaufwand/kg']])*Baukon[[#This Row],[Masse '[kg/m²'] min]]</f>
        <v>454.73860772828544</v>
      </c>
      <c r="AF37" s="37">
        <f>_xlfn.XLOOKUP(Baukon[[#This Row],[LCA Datensatz]],LeitRess_Materialien[Material_UUID],LeitRess_Materialien[TMR '[kg Gesamtmaterialaufwand/kg']])*Baukon[[#This Row],[Masse '[kg/m²'] max]]</f>
        <v>454.73860772828544</v>
      </c>
      <c r="AG37" s="37">
        <f>_xlfn.XLOOKUP(Baukon[[#This Row],[LCA Datensatz]],LeitRess_Materialien[Material_UUID],LeitRess_Materialien[GWP '[kg CO2-Äqu./kg']])*Baukon[[#This Row],[Masse '[kg/m²'] Referenz]]</f>
        <v>33.459580284616145</v>
      </c>
      <c r="AH37" s="37">
        <f>_xlfn.XLOOKUP(Baukon[[#This Row],[LCA Datensatz]],LeitRess_Materialien[Material_UUID],LeitRess_Materialien[GWP '[kg CO2-Äqu./kg']])*Baukon[[#This Row],[Masse '[kg/m²'] min]]</f>
        <v>33.459580284616145</v>
      </c>
      <c r="AI37" s="37">
        <f>_xlfn.XLOOKUP(Baukon[[#This Row],[LCA Datensatz]],LeitRess_Materialien[Material_UUID],LeitRess_Materialien[GWP '[kg CO2-Äqu./kg']])*Baukon[[#This Row],[Masse '[kg/m²'] max]]</f>
        <v>33.459580284616145</v>
      </c>
      <c r="AJ37" s="37">
        <f>_xlfn.XLOOKUP(Baukon[[#This Row],[LCA Datensatz]],LeitRess_Materialien[Material_UUID],LeitRess_Materialien[PENRT '[MJ/kg']])*Baukon[[#This Row],[Masse '[kg/m²'] Referenz]]</f>
        <v>369.70430638014756</v>
      </c>
      <c r="AK37" s="37">
        <f>_xlfn.XLOOKUP(Baukon[[#This Row],[LCA Datensatz]],LeitRess_Materialien[Material_UUID],LeitRess_Materialien[PENRT '[MJ/kg']])*Baukon[[#This Row],[Masse '[kg/m²'] min]]</f>
        <v>369.70430638014756</v>
      </c>
      <c r="AL37" s="37">
        <f>_xlfn.XLOOKUP(Baukon[[#This Row],[LCA Datensatz]],LeitRess_Materialien[Material_UUID],LeitRess_Materialien[PENRT '[MJ/kg']])*Baukon[[#This Row],[Masse '[kg/m²'] max]]</f>
        <v>369.70430638014756</v>
      </c>
      <c r="AM37" s="37" t="e">
        <f>_xlfn.XLOOKUP(Baukon[[#This Row],[LCA Datensatz]],LeitRess_Materialien[Material_UUID],#REF!)*Baukon[[#This Row],[Masse '[kg/m²'] Referenz]]</f>
        <v>#REF!</v>
      </c>
      <c r="AN37" s="37" t="e">
        <f>_xlfn.XLOOKUP(Baukon[[#This Row],[LCA Datensatz]],LeitRess_Materialien[Material_UUID],#REF!)*Baukon[[#This Row],[Masse '[kg/m²'] min]]</f>
        <v>#REF!</v>
      </c>
      <c r="AO37" s="37" t="e">
        <f>_xlfn.XLOOKUP(Baukon[[#This Row],[LCA Datensatz]],LeitRess_Materialien[Material_UUID],#REF!)*Baukon[[#This Row],[Masse '[kg/m²'] max]]</f>
        <v>#REF!</v>
      </c>
      <c r="AP37" s="37">
        <f>_xlfn.XLOOKUP(Baukon[[#This Row],[LCA Datensatz]],LeitRess_Materialien[Material_UUID],LeitRess_Materialien[WDP '[m³ weighted water/kg']])*Baukon[[#This Row],[Masse '[kg/m²'] Referenz]]</f>
        <v>3.4691369163803656</v>
      </c>
      <c r="AQ37" s="37">
        <f>_xlfn.XLOOKUP(Baukon[[#This Row],[LCA Datensatz]],LeitRess_Materialien[Material_UUID],LeitRess_Materialien[WDP '[m³ weighted water/kg']])*Baukon[[#This Row],[Masse '[kg/m²'] min]]</f>
        <v>3.4691369163803656</v>
      </c>
      <c r="AR37" s="37">
        <f>_xlfn.XLOOKUP(Baukon[[#This Row],[LCA Datensatz]],LeitRess_Materialien[Material_UUID],LeitRess_Materialien[WDP '[m³ weighted water/kg']])*Baukon[[#This Row],[Masse '[kg/m²'] max]]</f>
        <v>3.4691369163803656</v>
      </c>
      <c r="AS37" s="39">
        <f>Baukon[[#This Row],[GWP '[kg CO2-Äqu./m²'] Referenz]]/'Ausgabe Tabellen'!$C$21+Baukon[[#This Row],[PENRT '[MJ/m²'] Referenz]]/'Ausgabe Tabellen'!$C$22+Baukon[[#This Row],[RMI '[kg Primärrohstoffe/m²'] Referenz]]/'Ausgabe Tabellen'!$C$23+Baukon[[#This Row],[WDP '[m² weighted water/m²'] Referenz]]/'Ausgabe Tabellen'!$C$24</f>
        <v>1.1696495000328577E-2</v>
      </c>
      <c r="AT37" s="39">
        <f>Baukon[[#This Row],[GWP '[kg CO2-Äqu./m²'] min]]/'Ausgabe Tabellen'!$C$21+Baukon[[#This Row],[PENRT '[MJ/m²'] min]]/'Ausgabe Tabellen'!$C$22+Baukon[[#This Row],[RMI '[kg Primärrohstoffe/m²'] min]]/'Ausgabe Tabellen'!$C$23+Baukon[[#This Row],[WDP '[m² weighted water/m²'] min]]/'Ausgabe Tabellen'!$C$24</f>
        <v>1.1696495000328577E-2</v>
      </c>
      <c r="AU37" s="39">
        <f>Baukon[[#This Row],[GWP '[kg CO2-Äqu./m²'] max]]/'Ausgabe Tabellen'!$C$21+Baukon[[#This Row],[PENRT '[MJ/m²'] max]]/'Ausgabe Tabellen'!$C$22+Baukon[[#This Row],[RMI '[kg Primärrohstoffe/m²'] max]]/'Ausgabe Tabellen'!$C$23+Baukon[[#This Row],[WDP '[m² weighted water/m²'] max]]/'Ausgabe Tabellen'!$C$24</f>
        <v>1.1696495000328577E-2</v>
      </c>
    </row>
    <row r="38" spans="1:47" s="24" customFormat="1" ht="15.75" x14ac:dyDescent="0.5">
      <c r="A38" s="36" t="s">
        <v>87</v>
      </c>
      <c r="B38" s="36" t="s">
        <v>308</v>
      </c>
      <c r="C38" s="36">
        <v>2</v>
      </c>
      <c r="D38" s="36" t="s">
        <v>313</v>
      </c>
      <c r="E38" s="36" t="str">
        <f>Baukon[[#This Row],[Variante Nummer]]&amp;". "&amp;Baukon[[#This Row],[Name Baukonstruktion]]&amp;" | " &amp;Baukon[[#This Row],[Variante Name]]</f>
        <v>2. Mauerwerk, einschalig - Kalksandstein (KS) mit Dämmung | Hanf</v>
      </c>
      <c r="F38" s="36" t="s">
        <v>310</v>
      </c>
      <c r="G38" s="36" t="s">
        <v>252</v>
      </c>
      <c r="H38" s="36" t="s">
        <v>225</v>
      </c>
      <c r="I38" s="41">
        <v>15</v>
      </c>
      <c r="J38" s="36">
        <f>IF(Baukon[[#This Row],[Material ist Dämmstoff?]]="ja",Baukon[[#This Row],[Dicke '[mm'] Referenz]]+_xlfn.XLOOKUP(RIGHT(Baukon[[#Headers],[Dicke '[mm'] min]],3),Dämmstoffvarianten[Variante],Dämmstoffvarianten[Differenz Dämmstoffedicke zu Referenz '[mm']]),Baukon[[#This Row],[Dicke '[mm'] Referenz]])</f>
        <v>15</v>
      </c>
      <c r="K38" s="36">
        <f>IF(Baukon[[#This Row],[Material ist Dämmstoff?]]="ja",Baukon[[#This Row],[Dicke '[mm'] Referenz]]+_xlfn.XLOOKUP(RIGHT(Baukon[[#Headers],[Dicke '[mm'] max]],3),Dämmstoffvarianten[Variante],Dämmstoffvarianten[Differenz Dämmstoffedicke zu Referenz '[mm']]),Baukon[[#This Row],[Dicke '[mm'] Referenz]])</f>
        <v>15</v>
      </c>
      <c r="L38" s="43">
        <v>1</v>
      </c>
      <c r="M38" s="41"/>
      <c r="N38" s="103">
        <f>IFERROR(Baukon[[#This Row],[Dicke '[mm'] Referenz]]/1000*Baukon[[#This Row],[Flächenanteil '[%']]],"")</f>
        <v>1.4999999999999999E-2</v>
      </c>
      <c r="O38" s="103">
        <f>IFERROR(Baukon[[#This Row],[Dicke '[mm'] min]]/1000*Baukon[[#This Row],[Flächenanteil '[%']]],"")</f>
        <v>1.4999999999999999E-2</v>
      </c>
      <c r="P38" s="103">
        <f>IFERROR(Baukon[[#This Row],[Dicke '[mm'] max]]/1000*Baukon[[#This Row],[Flächenanteil '[%']]],"")</f>
        <v>1.4999999999999999E-2</v>
      </c>
      <c r="Q38"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15.75</v>
      </c>
      <c r="R38"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15.75</v>
      </c>
      <c r="S38"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15.75</v>
      </c>
      <c r="T38" s="42" t="s">
        <v>378</v>
      </c>
      <c r="U38" s="103" t="str">
        <f>_xlfn.XLOOKUP(Baukon[[#This Row],[Material]],LeitRess_Materialien[Name],LeitRess_Materialien[Material_UUID])</f>
        <v>07f3cd13-22bb-494d-803a-f0a440fbce7a</v>
      </c>
      <c r="V38" s="42">
        <f>_xlfn.XLOOKUP(Baukon[[#This Row],[LCA Datensatz]],LeitRess_Materialien[Material_UUID],LeitRess_Materialien[Rohdichte_'[kg/m3']])</f>
        <v>1050</v>
      </c>
      <c r="W38" s="42">
        <f>_xlfn.XLOOKUP(Baukon[[#This Row],[LCA Datensatz]],LeitRess_Materialien[Material_UUID],LeitRess_Materialien[Flächengewicht_'[kg/m2']])</f>
        <v>0</v>
      </c>
      <c r="X38" s="104">
        <f>_xlfn.XLOOKUP(Baukon[[#This Row],[LCA Datensatz]],LeitRess_Materialien[Material_UUID],LeitRess_Materialien[Längengewicht_'[kg/m']])</f>
        <v>0</v>
      </c>
      <c r="Y38" s="104">
        <f>_xlfn.XLOOKUP(Baukon[[#This Row],[LCA Datensatz]],LeitRess_Materialien[Material_UUID],LeitRess_Materialien[lambda_'[W/mK']])</f>
        <v>1</v>
      </c>
      <c r="Z38" s="103">
        <f>IFERROR(Baukon[[#This Row],[Dicke '[mm'] Referenz]]/Baukon[[#This Row],[lambda_'[W/mK']]],"")</f>
        <v>15</v>
      </c>
      <c r="AA38" s="37">
        <f>_xlfn.XLOOKUP(Baukon[[#This Row],[LCA Datensatz]],LeitRess_Materialien[Material_UUID],LeitRess_Materialien[RMI '[kg Primärrohstoffe / kg']])*Baukon[[#This Row],[Masse '[kg/m²'] Referenz]]</f>
        <v>19.102641975961582</v>
      </c>
      <c r="AB38" s="37">
        <f>_xlfn.XLOOKUP(Baukon[[#This Row],[LCA Datensatz]],LeitRess_Materialien[Material_UUID],LeitRess_Materialien[RMI '[kg Primärrohstoffe / kg']])*Baukon[[#This Row],[Masse '[kg/m²'] min]]</f>
        <v>19.102641975961582</v>
      </c>
      <c r="AC38" s="37">
        <f>_xlfn.XLOOKUP(Baukon[[#This Row],[LCA Datensatz]],LeitRess_Materialien[Material_UUID],LeitRess_Materialien[RMI '[kg Primärrohstoffe / kg']])*Baukon[[#This Row],[Masse '[kg/m²'] max]]</f>
        <v>19.102641975961582</v>
      </c>
      <c r="AD38" s="37">
        <f>_xlfn.XLOOKUP(Baukon[[#This Row],[LCA Datensatz]],LeitRess_Materialien[Material_UUID],LeitRess_Materialien[TMR '[kg Gesamtmaterialaufwand/kg']])*Baukon[[#This Row],[Masse '[kg/m²'] Referenz]]</f>
        <v>19.894952377912816</v>
      </c>
      <c r="AE38" s="37">
        <f>_xlfn.XLOOKUP(Baukon[[#This Row],[LCA Datensatz]],LeitRess_Materialien[Material_UUID],LeitRess_Materialien[TMR '[kg Gesamtmaterialaufwand/kg']])*Baukon[[#This Row],[Masse '[kg/m²'] min]]</f>
        <v>19.894952377912816</v>
      </c>
      <c r="AF38" s="37">
        <f>_xlfn.XLOOKUP(Baukon[[#This Row],[LCA Datensatz]],LeitRess_Materialien[Material_UUID],LeitRess_Materialien[TMR '[kg Gesamtmaterialaufwand/kg']])*Baukon[[#This Row],[Masse '[kg/m²'] max]]</f>
        <v>19.894952377912816</v>
      </c>
      <c r="AG38" s="37">
        <f>_xlfn.XLOOKUP(Baukon[[#This Row],[LCA Datensatz]],LeitRess_Materialien[Material_UUID],LeitRess_Materialien[GWP '[kg CO2-Äqu./kg']])*Baukon[[#This Row],[Masse '[kg/m²'] Referenz]]</f>
        <v>1.8596920563101473</v>
      </c>
      <c r="AH38" s="37">
        <f>_xlfn.XLOOKUP(Baukon[[#This Row],[LCA Datensatz]],LeitRess_Materialien[Material_UUID],LeitRess_Materialien[GWP '[kg CO2-Äqu./kg']])*Baukon[[#This Row],[Masse '[kg/m²'] min]]</f>
        <v>1.8596920563101473</v>
      </c>
      <c r="AI38" s="37">
        <f>_xlfn.XLOOKUP(Baukon[[#This Row],[LCA Datensatz]],LeitRess_Materialien[Material_UUID],LeitRess_Materialien[GWP '[kg CO2-Äqu./kg']])*Baukon[[#This Row],[Masse '[kg/m²'] max]]</f>
        <v>1.8596920563101473</v>
      </c>
      <c r="AJ38" s="37">
        <f>_xlfn.XLOOKUP(Baukon[[#This Row],[LCA Datensatz]],LeitRess_Materialien[Material_UUID],LeitRess_Materialien[PENRT '[MJ/kg']])*Baukon[[#This Row],[Masse '[kg/m²'] Referenz]]</f>
        <v>26.945451563913227</v>
      </c>
      <c r="AK38" s="37">
        <f>_xlfn.XLOOKUP(Baukon[[#This Row],[LCA Datensatz]],LeitRess_Materialien[Material_UUID],LeitRess_Materialien[PENRT '[MJ/kg']])*Baukon[[#This Row],[Masse '[kg/m²'] min]]</f>
        <v>26.945451563913227</v>
      </c>
      <c r="AL38" s="37">
        <f>_xlfn.XLOOKUP(Baukon[[#This Row],[LCA Datensatz]],LeitRess_Materialien[Material_UUID],LeitRess_Materialien[PENRT '[MJ/kg']])*Baukon[[#This Row],[Masse '[kg/m²'] max]]</f>
        <v>26.945451563913227</v>
      </c>
      <c r="AM38" s="37" t="e">
        <f>_xlfn.XLOOKUP(Baukon[[#This Row],[LCA Datensatz]],LeitRess_Materialien[Material_UUID],#REF!)*Baukon[[#This Row],[Masse '[kg/m²'] Referenz]]</f>
        <v>#REF!</v>
      </c>
      <c r="AN38" s="37" t="e">
        <f>_xlfn.XLOOKUP(Baukon[[#This Row],[LCA Datensatz]],LeitRess_Materialien[Material_UUID],#REF!)*Baukon[[#This Row],[Masse '[kg/m²'] min]]</f>
        <v>#REF!</v>
      </c>
      <c r="AO38" s="37" t="e">
        <f>_xlfn.XLOOKUP(Baukon[[#This Row],[LCA Datensatz]],LeitRess_Materialien[Material_UUID],#REF!)*Baukon[[#This Row],[Masse '[kg/m²'] max]]</f>
        <v>#REF!</v>
      </c>
      <c r="AP38" s="37">
        <f>_xlfn.XLOOKUP(Baukon[[#This Row],[LCA Datensatz]],LeitRess_Materialien[Material_UUID],LeitRess_Materialien[WDP '[m³ weighted water/kg']])*Baukon[[#This Row],[Masse '[kg/m²'] Referenz]]</f>
        <v>1.9586296940800589</v>
      </c>
      <c r="AQ38" s="37">
        <f>_xlfn.XLOOKUP(Baukon[[#This Row],[LCA Datensatz]],LeitRess_Materialien[Material_UUID],LeitRess_Materialien[WDP '[m³ weighted water/kg']])*Baukon[[#This Row],[Masse '[kg/m²'] min]]</f>
        <v>1.9586296940800589</v>
      </c>
      <c r="AR38" s="37">
        <f>_xlfn.XLOOKUP(Baukon[[#This Row],[LCA Datensatz]],LeitRess_Materialien[Material_UUID],LeitRess_Materialien[WDP '[m³ weighted water/kg']])*Baukon[[#This Row],[Masse '[kg/m²'] max]]</f>
        <v>1.9586296940800589</v>
      </c>
      <c r="AS38" s="39">
        <f>Baukon[[#This Row],[GWP '[kg CO2-Äqu./m²'] Referenz]]/'Ausgabe Tabellen'!$C$21+Baukon[[#This Row],[PENRT '[MJ/m²'] Referenz]]/'Ausgabe Tabellen'!$C$22+Baukon[[#This Row],[RMI '[kg Primärrohstoffe/m²'] Referenz]]/'Ausgabe Tabellen'!$C$23+Baukon[[#This Row],[WDP '[m² weighted water/m²'] Referenz]]/'Ausgabe Tabellen'!$C$24</f>
        <v>1.0580831622736952E-3</v>
      </c>
      <c r="AT38" s="39">
        <f>Baukon[[#This Row],[GWP '[kg CO2-Äqu./m²'] min]]/'Ausgabe Tabellen'!$C$21+Baukon[[#This Row],[PENRT '[MJ/m²'] min]]/'Ausgabe Tabellen'!$C$22+Baukon[[#This Row],[RMI '[kg Primärrohstoffe/m²'] min]]/'Ausgabe Tabellen'!$C$23+Baukon[[#This Row],[WDP '[m² weighted water/m²'] min]]/'Ausgabe Tabellen'!$C$24</f>
        <v>1.0580831622736952E-3</v>
      </c>
      <c r="AU38" s="39">
        <f>Baukon[[#This Row],[GWP '[kg CO2-Äqu./m²'] max]]/'Ausgabe Tabellen'!$C$21+Baukon[[#This Row],[PENRT '[MJ/m²'] max]]/'Ausgabe Tabellen'!$C$22+Baukon[[#This Row],[RMI '[kg Primärrohstoffe/m²'] max]]/'Ausgabe Tabellen'!$C$23+Baukon[[#This Row],[WDP '[m² weighted water/m²'] max]]/'Ausgabe Tabellen'!$C$24</f>
        <v>1.0580831622736952E-3</v>
      </c>
    </row>
    <row r="39" spans="1:47" s="24" customFormat="1" ht="15.75" x14ac:dyDescent="0.5">
      <c r="A39" s="36" t="s">
        <v>87</v>
      </c>
      <c r="B39" s="36" t="s">
        <v>308</v>
      </c>
      <c r="C39" s="36">
        <v>2</v>
      </c>
      <c r="D39" s="36" t="s">
        <v>313</v>
      </c>
      <c r="E39" s="36" t="str">
        <f>Baukon[[#This Row],[Variante Nummer]]&amp;". "&amp;Baukon[[#This Row],[Name Baukonstruktion]]&amp;" | " &amp;Baukon[[#This Row],[Variante Name]]</f>
        <v>2. Mauerwerk, einschalig - Kalksandstein (KS) mit Dämmung | Hanf</v>
      </c>
      <c r="F39" s="36" t="s">
        <v>324</v>
      </c>
      <c r="G39" s="36" t="s">
        <v>240</v>
      </c>
      <c r="H39" s="36" t="s">
        <v>225</v>
      </c>
      <c r="I39" s="41">
        <v>12.5</v>
      </c>
      <c r="J39" s="36">
        <f>IF(Baukon[[#This Row],[Material ist Dämmstoff?]]="ja",Baukon[[#This Row],[Dicke '[mm'] Referenz]]+_xlfn.XLOOKUP(RIGHT(Baukon[[#Headers],[Dicke '[mm'] min]],3),Dämmstoffvarianten[Variante],Dämmstoffvarianten[Differenz Dämmstoffedicke zu Referenz '[mm']]),Baukon[[#This Row],[Dicke '[mm'] Referenz]])</f>
        <v>12.5</v>
      </c>
      <c r="K39" s="36">
        <f>IF(Baukon[[#This Row],[Material ist Dämmstoff?]]="ja",Baukon[[#This Row],[Dicke '[mm'] Referenz]]+_xlfn.XLOOKUP(RIGHT(Baukon[[#Headers],[Dicke '[mm'] max]],3),Dämmstoffvarianten[Variante],Dämmstoffvarianten[Differenz Dämmstoffedicke zu Referenz '[mm']]),Baukon[[#This Row],[Dicke '[mm'] Referenz]])</f>
        <v>12.5</v>
      </c>
      <c r="L39" s="43">
        <v>1</v>
      </c>
      <c r="M39" s="41"/>
      <c r="N39" s="103">
        <f>IFERROR(Baukon[[#This Row],[Dicke '[mm'] Referenz]]/1000*Baukon[[#This Row],[Flächenanteil '[%']]],"")</f>
        <v>1.2500000000000001E-2</v>
      </c>
      <c r="O39" s="103">
        <f>IFERROR(Baukon[[#This Row],[Dicke '[mm'] min]]/1000*Baukon[[#This Row],[Flächenanteil '[%']]],"")</f>
        <v>1.2500000000000001E-2</v>
      </c>
      <c r="P39" s="103">
        <f>IFERROR(Baukon[[#This Row],[Dicke '[mm'] max]]/1000*Baukon[[#This Row],[Flächenanteil '[%']]],"")</f>
        <v>1.2500000000000001E-2</v>
      </c>
      <c r="Q39"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10</v>
      </c>
      <c r="R39"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10</v>
      </c>
      <c r="S39"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10</v>
      </c>
      <c r="T39" s="42" t="s">
        <v>252</v>
      </c>
      <c r="U39" s="103" t="str">
        <f>_xlfn.XLOOKUP(Baukon[[#This Row],[Material]],LeitRess_Materialien[Name],LeitRess_Materialien[Material_UUID])</f>
        <v>07423e99-8c7c-4e93-8311-dcf7ae85c41d</v>
      </c>
      <c r="V39" s="42">
        <f>_xlfn.XLOOKUP(Baukon[[#This Row],[LCA Datensatz]],LeitRess_Materialien[Material_UUID],LeitRess_Materialien[Rohdichte_'[kg/m3']])</f>
        <v>800</v>
      </c>
      <c r="W39" s="42">
        <f>_xlfn.XLOOKUP(Baukon[[#This Row],[LCA Datensatz]],LeitRess_Materialien[Material_UUID],LeitRess_Materialien[Flächengewicht_'[kg/m2']])</f>
        <v>10</v>
      </c>
      <c r="X39" s="104">
        <f>_xlfn.XLOOKUP(Baukon[[#This Row],[LCA Datensatz]],LeitRess_Materialien[Material_UUID],LeitRess_Materialien[Längengewicht_'[kg/m']])</f>
        <v>0</v>
      </c>
      <c r="Y39" s="104">
        <f>_xlfn.XLOOKUP(Baukon[[#This Row],[LCA Datensatz]],LeitRess_Materialien[Material_UUID],LeitRess_Materialien[lambda_'[W/mK']])</f>
        <v>0.2</v>
      </c>
      <c r="Z39" s="103">
        <f>IFERROR(Baukon[[#This Row],[Dicke '[mm'] Referenz]]/Baukon[[#This Row],[lambda_'[W/mK']]],"")</f>
        <v>62.5</v>
      </c>
      <c r="AA39" s="37">
        <f>_xlfn.XLOOKUP(Baukon[[#This Row],[LCA Datensatz]],LeitRess_Materialien[Material_UUID],LeitRess_Materialien[RMI '[kg Primärrohstoffe / kg']])*Baukon[[#This Row],[Masse '[kg/m²'] Referenz]]</f>
        <v>9.6885190926662101</v>
      </c>
      <c r="AB39" s="37">
        <f>_xlfn.XLOOKUP(Baukon[[#This Row],[LCA Datensatz]],LeitRess_Materialien[Material_UUID],LeitRess_Materialien[RMI '[kg Primärrohstoffe / kg']])*Baukon[[#This Row],[Masse '[kg/m²'] min]]</f>
        <v>9.6885190926662101</v>
      </c>
      <c r="AC39" s="37">
        <f>_xlfn.XLOOKUP(Baukon[[#This Row],[LCA Datensatz]],LeitRess_Materialien[Material_UUID],LeitRess_Materialien[RMI '[kg Primärrohstoffe / kg']])*Baukon[[#This Row],[Masse '[kg/m²'] max]]</f>
        <v>9.6885190926662101</v>
      </c>
      <c r="AD39" s="37">
        <f>_xlfn.XLOOKUP(Baukon[[#This Row],[LCA Datensatz]],LeitRess_Materialien[Material_UUID],LeitRess_Materialien[TMR '[kg Gesamtmaterialaufwand/kg']])*Baukon[[#This Row],[Masse '[kg/m²'] Referenz]]</f>
        <v>10.504992021872901</v>
      </c>
      <c r="AE39" s="37">
        <f>_xlfn.XLOOKUP(Baukon[[#This Row],[LCA Datensatz]],LeitRess_Materialien[Material_UUID],LeitRess_Materialien[TMR '[kg Gesamtmaterialaufwand/kg']])*Baukon[[#This Row],[Masse '[kg/m²'] min]]</f>
        <v>10.504992021872901</v>
      </c>
      <c r="AF39" s="37">
        <f>_xlfn.XLOOKUP(Baukon[[#This Row],[LCA Datensatz]],LeitRess_Materialien[Material_UUID],LeitRess_Materialien[TMR '[kg Gesamtmaterialaufwand/kg']])*Baukon[[#This Row],[Masse '[kg/m²'] max]]</f>
        <v>10.504992021872901</v>
      </c>
      <c r="AG39" s="37">
        <f>_xlfn.XLOOKUP(Baukon[[#This Row],[LCA Datensatz]],LeitRess_Materialien[Material_UUID],LeitRess_Materialien[GWP '[kg CO2-Äqu./kg']])*Baukon[[#This Row],[Masse '[kg/m²'] Referenz]]</f>
        <v>2.5140556386449697</v>
      </c>
      <c r="AH39" s="37">
        <f>_xlfn.XLOOKUP(Baukon[[#This Row],[LCA Datensatz]],LeitRess_Materialien[Material_UUID],LeitRess_Materialien[GWP '[kg CO2-Äqu./kg']])*Baukon[[#This Row],[Masse '[kg/m²'] min]]</f>
        <v>2.5140556386449697</v>
      </c>
      <c r="AI39" s="37">
        <f>_xlfn.XLOOKUP(Baukon[[#This Row],[LCA Datensatz]],LeitRess_Materialien[Material_UUID],LeitRess_Materialien[GWP '[kg CO2-Äqu./kg']])*Baukon[[#This Row],[Masse '[kg/m²'] max]]</f>
        <v>2.5140556386449697</v>
      </c>
      <c r="AJ39" s="37">
        <f>_xlfn.XLOOKUP(Baukon[[#This Row],[LCA Datensatz]],LeitRess_Materialien[Material_UUID],LeitRess_Materialien[PENRT '[MJ/kg']])*Baukon[[#This Row],[Masse '[kg/m²'] Referenz]]</f>
        <v>38.560990916917703</v>
      </c>
      <c r="AK39" s="37">
        <f>_xlfn.XLOOKUP(Baukon[[#This Row],[LCA Datensatz]],LeitRess_Materialien[Material_UUID],LeitRess_Materialien[PENRT '[MJ/kg']])*Baukon[[#This Row],[Masse '[kg/m²'] min]]</f>
        <v>38.560990916917703</v>
      </c>
      <c r="AL39" s="37">
        <f>_xlfn.XLOOKUP(Baukon[[#This Row],[LCA Datensatz]],LeitRess_Materialien[Material_UUID],LeitRess_Materialien[PENRT '[MJ/kg']])*Baukon[[#This Row],[Masse '[kg/m²'] max]]</f>
        <v>38.560990916917703</v>
      </c>
      <c r="AM39" s="37" t="e">
        <f>_xlfn.XLOOKUP(Baukon[[#This Row],[LCA Datensatz]],LeitRess_Materialien[Material_UUID],#REF!)*Baukon[[#This Row],[Masse '[kg/m²'] Referenz]]</f>
        <v>#REF!</v>
      </c>
      <c r="AN39" s="37" t="e">
        <f>_xlfn.XLOOKUP(Baukon[[#This Row],[LCA Datensatz]],LeitRess_Materialien[Material_UUID],#REF!)*Baukon[[#This Row],[Masse '[kg/m²'] min]]</f>
        <v>#REF!</v>
      </c>
      <c r="AO39" s="37" t="e">
        <f>_xlfn.XLOOKUP(Baukon[[#This Row],[LCA Datensatz]],LeitRess_Materialien[Material_UUID],#REF!)*Baukon[[#This Row],[Masse '[kg/m²'] max]]</f>
        <v>#REF!</v>
      </c>
      <c r="AP39" s="37">
        <f>_xlfn.XLOOKUP(Baukon[[#This Row],[LCA Datensatz]],LeitRess_Materialien[Material_UUID],LeitRess_Materialien[WDP '[m³ weighted water/kg']])*Baukon[[#This Row],[Masse '[kg/m²'] Referenz]]</f>
        <v>1.2506783392176499</v>
      </c>
      <c r="AQ39" s="37">
        <f>_xlfn.XLOOKUP(Baukon[[#This Row],[LCA Datensatz]],LeitRess_Materialien[Material_UUID],LeitRess_Materialien[WDP '[m³ weighted water/kg']])*Baukon[[#This Row],[Masse '[kg/m²'] min]]</f>
        <v>1.2506783392176499</v>
      </c>
      <c r="AR39" s="37">
        <f>_xlfn.XLOOKUP(Baukon[[#This Row],[LCA Datensatz]],LeitRess_Materialien[Material_UUID],LeitRess_Materialien[WDP '[m³ weighted water/kg']])*Baukon[[#This Row],[Masse '[kg/m²'] max]]</f>
        <v>1.2506783392176499</v>
      </c>
      <c r="AS39" s="39">
        <f>Baukon[[#This Row],[GWP '[kg CO2-Äqu./m²'] Referenz]]/'Ausgabe Tabellen'!$C$21+Baukon[[#This Row],[PENRT '[MJ/m²'] Referenz]]/'Ausgabe Tabellen'!$C$22+Baukon[[#This Row],[RMI '[kg Primärrohstoffe/m²'] Referenz]]/'Ausgabe Tabellen'!$C$23+Baukon[[#This Row],[WDP '[m² weighted water/m²'] Referenz]]/'Ausgabe Tabellen'!$C$24</f>
        <v>8.7990794098609262E-4</v>
      </c>
      <c r="AT39" s="39">
        <f>Baukon[[#This Row],[GWP '[kg CO2-Äqu./m²'] min]]/'Ausgabe Tabellen'!$C$21+Baukon[[#This Row],[PENRT '[MJ/m²'] min]]/'Ausgabe Tabellen'!$C$22+Baukon[[#This Row],[RMI '[kg Primärrohstoffe/m²'] min]]/'Ausgabe Tabellen'!$C$23+Baukon[[#This Row],[WDP '[m² weighted water/m²'] min]]/'Ausgabe Tabellen'!$C$24</f>
        <v>8.7990794098609262E-4</v>
      </c>
      <c r="AU39" s="39">
        <f>Baukon[[#This Row],[GWP '[kg CO2-Äqu./m²'] max]]/'Ausgabe Tabellen'!$C$21+Baukon[[#This Row],[PENRT '[MJ/m²'] max]]/'Ausgabe Tabellen'!$C$22+Baukon[[#This Row],[RMI '[kg Primärrohstoffe/m²'] max]]/'Ausgabe Tabellen'!$C$23+Baukon[[#This Row],[WDP '[m² weighted water/m²'] max]]/'Ausgabe Tabellen'!$C$24</f>
        <v>8.7990794098609262E-4</v>
      </c>
    </row>
    <row r="40" spans="1:47" s="24" customFormat="1" ht="15.75" x14ac:dyDescent="0.5">
      <c r="A40" s="36" t="s">
        <v>87</v>
      </c>
      <c r="B40" s="36" t="s">
        <v>308</v>
      </c>
      <c r="C40" s="36">
        <v>2</v>
      </c>
      <c r="D40" s="36" t="s">
        <v>313</v>
      </c>
      <c r="E40" s="36" t="str">
        <f>Baukon[[#This Row],[Variante Nummer]]&amp;". "&amp;Baukon[[#This Row],[Name Baukonstruktion]]&amp;" | " &amp;Baukon[[#This Row],[Variante Name]]</f>
        <v>2. Mauerwerk, einschalig - Kalksandstein (KS) mit Dämmung | Hanf</v>
      </c>
      <c r="F40" s="36" t="s">
        <v>333</v>
      </c>
      <c r="G40" s="36" t="s">
        <v>271</v>
      </c>
      <c r="H40" s="36" t="s">
        <v>228</v>
      </c>
      <c r="I40" s="41">
        <v>175</v>
      </c>
      <c r="J40" s="36">
        <f>IF(Baukon[[#This Row],[Material ist Dämmstoff?]]="ja",Baukon[[#This Row],[Dicke '[mm'] Referenz]]+_xlfn.XLOOKUP(RIGHT(Baukon[[#Headers],[Dicke '[mm'] min]],3),Dämmstoffvarianten[Variante],Dämmstoffvarianten[Differenz Dämmstoffedicke zu Referenz '[mm']]),Baukon[[#This Row],[Dicke '[mm'] Referenz]])</f>
        <v>135</v>
      </c>
      <c r="K40" s="36">
        <f>IF(Baukon[[#This Row],[Material ist Dämmstoff?]]="ja",Baukon[[#This Row],[Dicke '[mm'] Referenz]]+_xlfn.XLOOKUP(RIGHT(Baukon[[#Headers],[Dicke '[mm'] max]],3),Dämmstoffvarianten[Variante],Dämmstoffvarianten[Differenz Dämmstoffedicke zu Referenz '[mm']]),Baukon[[#This Row],[Dicke '[mm'] Referenz]])</f>
        <v>255</v>
      </c>
      <c r="L40" s="43">
        <v>1</v>
      </c>
      <c r="M40" s="41"/>
      <c r="N40" s="103">
        <f>IFERROR(Baukon[[#This Row],[Dicke '[mm'] Referenz]]/1000*Baukon[[#This Row],[Flächenanteil '[%']]],"")</f>
        <v>0.17499999999999999</v>
      </c>
      <c r="O40" s="103">
        <f>IFERROR(Baukon[[#This Row],[Dicke '[mm'] min]]/1000*Baukon[[#This Row],[Flächenanteil '[%']]],"")</f>
        <v>0.13500000000000001</v>
      </c>
      <c r="P40" s="103">
        <f>IFERROR(Baukon[[#This Row],[Dicke '[mm'] max]]/1000*Baukon[[#This Row],[Flächenanteil '[%']]],"")</f>
        <v>0.255</v>
      </c>
      <c r="Q40"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6.6499999999999995</v>
      </c>
      <c r="R40"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5.1300000000000008</v>
      </c>
      <c r="S40"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9.69</v>
      </c>
      <c r="T40" s="42" t="s">
        <v>383</v>
      </c>
      <c r="U40" s="103" t="str">
        <f>_xlfn.XLOOKUP(Baukon[[#This Row],[Material]],LeitRess_Materialien[Name],LeitRess_Materialien[Material_UUID])</f>
        <v>5ef0c519-f5b2-4d45-809d-5f417f90e90b</v>
      </c>
      <c r="V40" s="42">
        <f>_xlfn.XLOOKUP(Baukon[[#This Row],[LCA Datensatz]],LeitRess_Materialien[Material_UUID],LeitRess_Materialien[Rohdichte_'[kg/m3']])</f>
        <v>38</v>
      </c>
      <c r="W40" s="42">
        <f>_xlfn.XLOOKUP(Baukon[[#This Row],[LCA Datensatz]],LeitRess_Materialien[Material_UUID],LeitRess_Materialien[Flächengewicht_'[kg/m2']])</f>
        <v>0</v>
      </c>
      <c r="X40" s="104">
        <f>_xlfn.XLOOKUP(Baukon[[#This Row],[LCA Datensatz]],LeitRess_Materialien[Material_UUID],LeitRess_Materialien[Längengewicht_'[kg/m']])</f>
        <v>0</v>
      </c>
      <c r="Y40" s="104">
        <f>_xlfn.XLOOKUP(Baukon[[#This Row],[LCA Datensatz]],LeitRess_Materialien[Material_UUID],LeitRess_Materialien[lambda_'[W/mK']])</f>
        <v>4.4999999999999998E-2</v>
      </c>
      <c r="Z40" s="103">
        <f>IFERROR(Baukon[[#This Row],[Dicke '[mm'] Referenz]]/Baukon[[#This Row],[lambda_'[W/mK']]],"")</f>
        <v>3888.8888888888891</v>
      </c>
      <c r="AA40" s="37">
        <f>_xlfn.XLOOKUP(Baukon[[#This Row],[LCA Datensatz]],LeitRess_Materialien[Material_UUID],LeitRess_Materialien[RMI '[kg Primärrohstoffe / kg']])*Baukon[[#This Row],[Masse '[kg/m²'] Referenz]]</f>
        <v>16.060091964094262</v>
      </c>
      <c r="AB40" s="37">
        <f>_xlfn.XLOOKUP(Baukon[[#This Row],[LCA Datensatz]],LeitRess_Materialien[Material_UUID],LeitRess_Materialien[RMI '[kg Primärrohstoffe / kg']])*Baukon[[#This Row],[Masse '[kg/m²'] min]]</f>
        <v>12.389213800872721</v>
      </c>
      <c r="AC40" s="37">
        <f>_xlfn.XLOOKUP(Baukon[[#This Row],[LCA Datensatz]],LeitRess_Materialien[Material_UUID],LeitRess_Materialien[RMI '[kg Primärrohstoffe / kg']])*Baukon[[#This Row],[Masse '[kg/m²'] max]]</f>
        <v>23.401848290537355</v>
      </c>
      <c r="AD40" s="37">
        <f>_xlfn.XLOOKUP(Baukon[[#This Row],[LCA Datensatz]],LeitRess_Materialien[Material_UUID],LeitRess_Materialien[TMR '[kg Gesamtmaterialaufwand/kg']])*Baukon[[#This Row],[Masse '[kg/m²'] Referenz]]</f>
        <v>10.431938828820904</v>
      </c>
      <c r="AE40" s="37">
        <f>_xlfn.XLOOKUP(Baukon[[#This Row],[LCA Datensatz]],LeitRess_Materialien[Material_UUID],LeitRess_Materialien[TMR '[kg Gesamtmaterialaufwand/kg']])*Baukon[[#This Row],[Masse '[kg/m²'] min]]</f>
        <v>8.0474956679475564</v>
      </c>
      <c r="AF40" s="37">
        <f>_xlfn.XLOOKUP(Baukon[[#This Row],[LCA Datensatz]],LeitRess_Materialien[Material_UUID],LeitRess_Materialien[TMR '[kg Gesamtmaterialaufwand/kg']])*Baukon[[#This Row],[Masse '[kg/m²'] max]]</f>
        <v>15.200825150567605</v>
      </c>
      <c r="AG40" s="37">
        <f>_xlfn.XLOOKUP(Baukon[[#This Row],[LCA Datensatz]],LeitRess_Materialien[Material_UUID],LeitRess_Materialien[GWP '[kg CO2-Äqu./kg']])*Baukon[[#This Row],[Masse '[kg/m²'] Referenz]]</f>
        <v>6.7629359725212206</v>
      </c>
      <c r="AH40" s="37">
        <f>_xlfn.XLOOKUP(Baukon[[#This Row],[LCA Datensatz]],LeitRess_Materialien[Material_UUID],LeitRess_Materialien[GWP '[kg CO2-Äqu./kg']])*Baukon[[#This Row],[Masse '[kg/m²'] min]]</f>
        <v>5.2171220359449428</v>
      </c>
      <c r="AI40" s="37">
        <f>_xlfn.XLOOKUP(Baukon[[#This Row],[LCA Datensatz]],LeitRess_Materialien[Material_UUID],LeitRess_Materialien[GWP '[kg CO2-Äqu./kg']])*Baukon[[#This Row],[Masse '[kg/m²'] max]]</f>
        <v>9.8545638456737787</v>
      </c>
      <c r="AJ40" s="37">
        <f>_xlfn.XLOOKUP(Baukon[[#This Row],[LCA Datensatz]],LeitRess_Materialien[Material_UUID],LeitRess_Materialien[PENRT '[MJ/kg']])*Baukon[[#This Row],[Masse '[kg/m²'] Referenz]]</f>
        <v>127.73043493029127</v>
      </c>
      <c r="AK40" s="37">
        <f>_xlfn.XLOOKUP(Baukon[[#This Row],[LCA Datensatz]],LeitRess_Materialien[Material_UUID],LeitRess_Materialien[PENRT '[MJ/kg']])*Baukon[[#This Row],[Masse '[kg/m²'] min]]</f>
        <v>98.534906946224709</v>
      </c>
      <c r="AL40" s="37">
        <f>_xlfn.XLOOKUP(Baukon[[#This Row],[LCA Datensatz]],LeitRess_Materialien[Material_UUID],LeitRess_Materialien[PENRT '[MJ/kg']])*Baukon[[#This Row],[Masse '[kg/m²'] max]]</f>
        <v>186.12149089842441</v>
      </c>
      <c r="AM40" s="37" t="e">
        <f>_xlfn.XLOOKUP(Baukon[[#This Row],[LCA Datensatz]],LeitRess_Materialien[Material_UUID],#REF!)*Baukon[[#This Row],[Masse '[kg/m²'] Referenz]]</f>
        <v>#REF!</v>
      </c>
      <c r="AN40" s="37" t="e">
        <f>_xlfn.XLOOKUP(Baukon[[#This Row],[LCA Datensatz]],LeitRess_Materialien[Material_UUID],#REF!)*Baukon[[#This Row],[Masse '[kg/m²'] min]]</f>
        <v>#REF!</v>
      </c>
      <c r="AO40" s="37" t="e">
        <f>_xlfn.XLOOKUP(Baukon[[#This Row],[LCA Datensatz]],LeitRess_Materialien[Material_UUID],#REF!)*Baukon[[#This Row],[Masse '[kg/m²'] max]]</f>
        <v>#REF!</v>
      </c>
      <c r="AP40" s="37">
        <f>_xlfn.XLOOKUP(Baukon[[#This Row],[LCA Datensatz]],LeitRess_Materialien[Material_UUID],LeitRess_Materialien[WDP '[m³ weighted water/kg']])*Baukon[[#This Row],[Masse '[kg/m²'] Referenz]]</f>
        <v>3.1841594973425664</v>
      </c>
      <c r="AQ40" s="37">
        <f>_xlfn.XLOOKUP(Baukon[[#This Row],[LCA Datensatz]],LeitRess_Materialien[Material_UUID],LeitRess_Materialien[WDP '[m³ weighted water/kg']])*Baukon[[#This Row],[Masse '[kg/m²'] min]]</f>
        <v>2.4563516122356948</v>
      </c>
      <c r="AR40" s="37">
        <f>_xlfn.XLOOKUP(Baukon[[#This Row],[LCA Datensatz]],LeitRess_Materialien[Material_UUID],LeitRess_Materialien[WDP '[m³ weighted water/kg']])*Baukon[[#This Row],[Masse '[kg/m²'] max]]</f>
        <v>4.6397752675563115</v>
      </c>
      <c r="AS40" s="39">
        <f>Baukon[[#This Row],[GWP '[kg CO2-Äqu./m²'] Referenz]]/'Ausgabe Tabellen'!$C$21+Baukon[[#This Row],[PENRT '[MJ/m²'] Referenz]]/'Ausgabe Tabellen'!$C$22+Baukon[[#This Row],[RMI '[kg Primärrohstoffe/m²'] Referenz]]/'Ausgabe Tabellen'!$C$23+Baukon[[#This Row],[WDP '[m² weighted water/m²'] Referenz]]/'Ausgabe Tabellen'!$C$24</f>
        <v>2.2483079357832675E-3</v>
      </c>
      <c r="AT40" s="39">
        <f>Baukon[[#This Row],[GWP '[kg CO2-Äqu./m²'] min]]/'Ausgabe Tabellen'!$C$21+Baukon[[#This Row],[PENRT '[MJ/m²'] min]]/'Ausgabe Tabellen'!$C$22+Baukon[[#This Row],[RMI '[kg Primärrohstoffe/m²'] min]]/'Ausgabe Tabellen'!$C$23+Baukon[[#This Row],[WDP '[m² weighted water/m²'] min]]/'Ausgabe Tabellen'!$C$24</f>
        <v>1.7344089790328066E-3</v>
      </c>
      <c r="AU40" s="39">
        <f>Baukon[[#This Row],[GWP '[kg CO2-Äqu./m²'] max]]/'Ausgabe Tabellen'!$C$21+Baukon[[#This Row],[PENRT '[MJ/m²'] max]]/'Ausgabe Tabellen'!$C$22+Baukon[[#This Row],[RMI '[kg Primärrohstoffe/m²'] max]]/'Ausgabe Tabellen'!$C$23+Baukon[[#This Row],[WDP '[m² weighted water/m²'] max]]/'Ausgabe Tabellen'!$C$24</f>
        <v>3.2761058492841899E-3</v>
      </c>
    </row>
    <row r="41" spans="1:47" s="24" customFormat="1" ht="15.75" x14ac:dyDescent="0.5">
      <c r="A41" s="36" t="s">
        <v>87</v>
      </c>
      <c r="B41" s="36" t="s">
        <v>308</v>
      </c>
      <c r="C41" s="36">
        <v>2</v>
      </c>
      <c r="D41" s="36" t="s">
        <v>313</v>
      </c>
      <c r="E41" s="36" t="str">
        <f>Baukon[[#This Row],[Variante Nummer]]&amp;". "&amp;Baukon[[#This Row],[Name Baukonstruktion]]&amp;" | " &amp;Baukon[[#This Row],[Variante Name]]</f>
        <v>2. Mauerwerk, einschalig - Kalksandstein (KS) mit Dämmung | Hanf</v>
      </c>
      <c r="F41" s="36" t="s">
        <v>264</v>
      </c>
      <c r="G41" s="36" t="s">
        <v>264</v>
      </c>
      <c r="H41" s="36" t="s">
        <v>225</v>
      </c>
      <c r="I41" s="41">
        <v>120</v>
      </c>
      <c r="J41" s="36">
        <f>IF(Baukon[[#This Row],[Material ist Dämmstoff?]]="ja",Baukon[[#This Row],[Dicke '[mm'] Referenz]]+_xlfn.XLOOKUP(RIGHT(Baukon[[#Headers],[Dicke '[mm'] min]],3),Dämmstoffvarianten[Variante],Dämmstoffvarianten[Differenz Dämmstoffedicke zu Referenz '[mm']]),Baukon[[#This Row],[Dicke '[mm'] Referenz]])</f>
        <v>120</v>
      </c>
      <c r="K41" s="36">
        <f>IF(Baukon[[#This Row],[Material ist Dämmstoff?]]="ja",Baukon[[#This Row],[Dicke '[mm'] Referenz]]+_xlfn.XLOOKUP(RIGHT(Baukon[[#Headers],[Dicke '[mm'] max]],3),Dämmstoffvarianten[Variante],Dämmstoffvarianten[Differenz Dämmstoffedicke zu Referenz '[mm']]),Baukon[[#This Row],[Dicke '[mm'] Referenz]])</f>
        <v>120</v>
      </c>
      <c r="L41" s="43">
        <v>1</v>
      </c>
      <c r="M41" s="41"/>
      <c r="N41" s="103">
        <f>IFERROR(Baukon[[#This Row],[Dicke '[mm'] Referenz]]/1000*Baukon[[#This Row],[Flächenanteil '[%']]],"")</f>
        <v>0.12</v>
      </c>
      <c r="O41" s="103">
        <f>IFERROR(Baukon[[#This Row],[Dicke '[mm'] min]]/1000*Baukon[[#This Row],[Flächenanteil '[%']]],"")</f>
        <v>0.12</v>
      </c>
      <c r="P41" s="103">
        <f>IFERROR(Baukon[[#This Row],[Dicke '[mm'] max]]/1000*Baukon[[#This Row],[Flächenanteil '[%']]],"")</f>
        <v>0.12</v>
      </c>
      <c r="Q41"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240</v>
      </c>
      <c r="R41"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240</v>
      </c>
      <c r="S41"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240</v>
      </c>
      <c r="T41" s="42"/>
      <c r="U41" s="103" t="str">
        <f>_xlfn.XLOOKUP(Baukon[[#This Row],[Material]],LeitRess_Materialien[Name],LeitRess_Materialien[Material_UUID])</f>
        <v>29e6c6cf-0552-4e4b-85c7-26a68a625252</v>
      </c>
      <c r="V41" s="42">
        <f>_xlfn.XLOOKUP(Baukon[[#This Row],[LCA Datensatz]],LeitRess_Materialien[Material_UUID],LeitRess_Materialien[Rohdichte_'[kg/m3']])</f>
        <v>2000</v>
      </c>
      <c r="W41" s="42">
        <f>_xlfn.XLOOKUP(Baukon[[#This Row],[LCA Datensatz]],LeitRess_Materialien[Material_UUID],LeitRess_Materialien[Flächengewicht_'[kg/m2']])</f>
        <v>0</v>
      </c>
      <c r="X41" s="104">
        <f>_xlfn.XLOOKUP(Baukon[[#This Row],[LCA Datensatz]],LeitRess_Materialien[Material_UUID],LeitRess_Materialien[Längengewicht_'[kg/m']])</f>
        <v>0</v>
      </c>
      <c r="Y41" s="104">
        <f>_xlfn.XLOOKUP(Baukon[[#This Row],[LCA Datensatz]],LeitRess_Materialien[Material_UUID],LeitRess_Materialien[lambda_'[W/mK']])</f>
        <v>0.9</v>
      </c>
      <c r="Z41" s="103">
        <f>IFERROR(Baukon[[#This Row],[Dicke '[mm'] Referenz]]/Baukon[[#This Row],[lambda_'[W/mK']]],"")</f>
        <v>133.33333333333334</v>
      </c>
      <c r="AA41" s="37">
        <f>_xlfn.XLOOKUP(Baukon[[#This Row],[LCA Datensatz]],LeitRess_Materialien[Material_UUID],LeitRess_Materialien[RMI '[kg Primärrohstoffe / kg']])*Baukon[[#This Row],[Masse '[kg/m²'] Referenz]]</f>
        <v>292.28867164452481</v>
      </c>
      <c r="AB41" s="37">
        <f>_xlfn.XLOOKUP(Baukon[[#This Row],[LCA Datensatz]],LeitRess_Materialien[Material_UUID],LeitRess_Materialien[RMI '[kg Primärrohstoffe / kg']])*Baukon[[#This Row],[Masse '[kg/m²'] min]]</f>
        <v>292.28867164452481</v>
      </c>
      <c r="AC41" s="37">
        <f>_xlfn.XLOOKUP(Baukon[[#This Row],[LCA Datensatz]],LeitRess_Materialien[Material_UUID],LeitRess_Materialien[RMI '[kg Primärrohstoffe / kg']])*Baukon[[#This Row],[Masse '[kg/m²'] max]]</f>
        <v>292.28867164452481</v>
      </c>
      <c r="AD41" s="37">
        <f>_xlfn.XLOOKUP(Baukon[[#This Row],[LCA Datensatz]],LeitRess_Materialien[Material_UUID],LeitRess_Materialien[TMR '[kg Gesamtmaterialaufwand/kg']])*Baukon[[#This Row],[Masse '[kg/m²'] Referenz]]</f>
        <v>298.90220537355356</v>
      </c>
      <c r="AE41" s="37">
        <f>_xlfn.XLOOKUP(Baukon[[#This Row],[LCA Datensatz]],LeitRess_Materialien[Material_UUID],LeitRess_Materialien[TMR '[kg Gesamtmaterialaufwand/kg']])*Baukon[[#This Row],[Masse '[kg/m²'] min]]</f>
        <v>298.90220537355356</v>
      </c>
      <c r="AF41" s="37">
        <f>_xlfn.XLOOKUP(Baukon[[#This Row],[LCA Datensatz]],LeitRess_Materialien[Material_UUID],LeitRess_Materialien[TMR '[kg Gesamtmaterialaufwand/kg']])*Baukon[[#This Row],[Masse '[kg/m²'] max]]</f>
        <v>298.90220537355356</v>
      </c>
      <c r="AG41" s="37">
        <f>_xlfn.XLOOKUP(Baukon[[#This Row],[LCA Datensatz]],LeitRess_Materialien[Material_UUID],LeitRess_Materialien[GWP '[kg CO2-Äqu./kg']])*Baukon[[#This Row],[Masse '[kg/m²'] Referenz]]</f>
        <v>35.541681329985117</v>
      </c>
      <c r="AH41" s="37">
        <f>_xlfn.XLOOKUP(Baukon[[#This Row],[LCA Datensatz]],LeitRess_Materialien[Material_UUID],LeitRess_Materialien[GWP '[kg CO2-Äqu./kg']])*Baukon[[#This Row],[Masse '[kg/m²'] min]]</f>
        <v>35.541681329985117</v>
      </c>
      <c r="AI41" s="37">
        <f>_xlfn.XLOOKUP(Baukon[[#This Row],[LCA Datensatz]],LeitRess_Materialien[Material_UUID],LeitRess_Materialien[GWP '[kg CO2-Äqu./kg']])*Baukon[[#This Row],[Masse '[kg/m²'] max]]</f>
        <v>35.541681329985117</v>
      </c>
      <c r="AJ41" s="37">
        <f>_xlfn.XLOOKUP(Baukon[[#This Row],[LCA Datensatz]],LeitRess_Materialien[Material_UUID],LeitRess_Materialien[PENRT '[MJ/kg']])*Baukon[[#This Row],[Masse '[kg/m²'] Referenz]]</f>
        <v>279.25245963495598</v>
      </c>
      <c r="AK41" s="37">
        <f>_xlfn.XLOOKUP(Baukon[[#This Row],[LCA Datensatz]],LeitRess_Materialien[Material_UUID],LeitRess_Materialien[PENRT '[MJ/kg']])*Baukon[[#This Row],[Masse '[kg/m²'] min]]</f>
        <v>279.25245963495598</v>
      </c>
      <c r="AL41" s="37">
        <f>_xlfn.XLOOKUP(Baukon[[#This Row],[LCA Datensatz]],LeitRess_Materialien[Material_UUID],LeitRess_Materialien[PENRT '[MJ/kg']])*Baukon[[#This Row],[Masse '[kg/m²'] max]]</f>
        <v>279.25245963495598</v>
      </c>
      <c r="AM41" s="37" t="e">
        <f>_xlfn.XLOOKUP(Baukon[[#This Row],[LCA Datensatz]],LeitRess_Materialien[Material_UUID],#REF!)*Baukon[[#This Row],[Masse '[kg/m²'] Referenz]]</f>
        <v>#REF!</v>
      </c>
      <c r="AN41" s="37" t="e">
        <f>_xlfn.XLOOKUP(Baukon[[#This Row],[LCA Datensatz]],LeitRess_Materialien[Material_UUID],#REF!)*Baukon[[#This Row],[Masse '[kg/m²'] min]]</f>
        <v>#REF!</v>
      </c>
      <c r="AO41" s="37" t="e">
        <f>_xlfn.XLOOKUP(Baukon[[#This Row],[LCA Datensatz]],LeitRess_Materialien[Material_UUID],#REF!)*Baukon[[#This Row],[Masse '[kg/m²'] max]]</f>
        <v>#REF!</v>
      </c>
      <c r="AP41" s="37">
        <f>_xlfn.XLOOKUP(Baukon[[#This Row],[LCA Datensatz]],LeitRess_Materialien[Material_UUID],LeitRess_Materialien[WDP '[m³ weighted water/kg']])*Baukon[[#This Row],[Masse '[kg/m²'] Referenz]]</f>
        <v>15.213275691000359</v>
      </c>
      <c r="AQ41" s="37">
        <f>_xlfn.XLOOKUP(Baukon[[#This Row],[LCA Datensatz]],LeitRess_Materialien[Material_UUID],LeitRess_Materialien[WDP '[m³ weighted water/kg']])*Baukon[[#This Row],[Masse '[kg/m²'] min]]</f>
        <v>15.213275691000359</v>
      </c>
      <c r="AR41" s="37">
        <f>_xlfn.XLOOKUP(Baukon[[#This Row],[LCA Datensatz]],LeitRess_Materialien[Material_UUID],LeitRess_Materialien[WDP '[m³ weighted water/kg']])*Baukon[[#This Row],[Masse '[kg/m²'] max]]</f>
        <v>15.213275691000359</v>
      </c>
      <c r="AS41" s="39">
        <f>Baukon[[#This Row],[GWP '[kg CO2-Äqu./m²'] Referenz]]/'Ausgabe Tabellen'!$C$21+Baukon[[#This Row],[PENRT '[MJ/m²'] Referenz]]/'Ausgabe Tabellen'!$C$22+Baukon[[#This Row],[RMI '[kg Primärrohstoffe/m²'] Referenz]]/'Ausgabe Tabellen'!$C$23+Baukon[[#This Row],[WDP '[m² weighted water/m²'] Referenz]]/'Ausgabe Tabellen'!$C$24</f>
        <v>1.4578515020017032E-2</v>
      </c>
      <c r="AT41" s="39">
        <f>Baukon[[#This Row],[GWP '[kg CO2-Äqu./m²'] min]]/'Ausgabe Tabellen'!$C$21+Baukon[[#This Row],[PENRT '[MJ/m²'] min]]/'Ausgabe Tabellen'!$C$22+Baukon[[#This Row],[RMI '[kg Primärrohstoffe/m²'] min]]/'Ausgabe Tabellen'!$C$23+Baukon[[#This Row],[WDP '[m² weighted water/m²'] min]]/'Ausgabe Tabellen'!$C$24</f>
        <v>1.4578515020017032E-2</v>
      </c>
      <c r="AU41" s="39">
        <f>Baukon[[#This Row],[GWP '[kg CO2-Äqu./m²'] max]]/'Ausgabe Tabellen'!$C$21+Baukon[[#This Row],[PENRT '[MJ/m²'] max]]/'Ausgabe Tabellen'!$C$22+Baukon[[#This Row],[RMI '[kg Primärrohstoffe/m²'] max]]/'Ausgabe Tabellen'!$C$23+Baukon[[#This Row],[WDP '[m² weighted water/m²'] max]]/'Ausgabe Tabellen'!$C$24</f>
        <v>1.4578515020017032E-2</v>
      </c>
    </row>
    <row r="42" spans="1:47" s="24" customFormat="1" ht="15.75" x14ac:dyDescent="0.5">
      <c r="A42" s="36" t="s">
        <v>87</v>
      </c>
      <c r="B42" s="36" t="s">
        <v>308</v>
      </c>
      <c r="C42" s="36">
        <v>3</v>
      </c>
      <c r="D42" s="36" t="s">
        <v>314</v>
      </c>
      <c r="E42" s="36" t="str">
        <f>Baukon[[#This Row],[Variante Nummer]]&amp;". "&amp;Baukon[[#This Row],[Name Baukonstruktion]]&amp;" | " &amp;Baukon[[#This Row],[Variante Name]]</f>
        <v>3. Mauerwerk, einschalig - Kalksandstein (KS) mit Dämmung | Zellulose</v>
      </c>
      <c r="F42" s="36" t="s">
        <v>310</v>
      </c>
      <c r="G42" s="36" t="s">
        <v>252</v>
      </c>
      <c r="H42" s="36" t="s">
        <v>225</v>
      </c>
      <c r="I42" s="41">
        <v>15</v>
      </c>
      <c r="J42" s="36">
        <f>IF(Baukon[[#This Row],[Material ist Dämmstoff?]]="ja",Baukon[[#This Row],[Dicke '[mm'] Referenz]]+_xlfn.XLOOKUP(RIGHT(Baukon[[#Headers],[Dicke '[mm'] min]],3),Dämmstoffvarianten[Variante],Dämmstoffvarianten[Differenz Dämmstoffedicke zu Referenz '[mm']]),Baukon[[#This Row],[Dicke '[mm'] Referenz]])</f>
        <v>15</v>
      </c>
      <c r="K42" s="36">
        <f>IF(Baukon[[#This Row],[Material ist Dämmstoff?]]="ja",Baukon[[#This Row],[Dicke '[mm'] Referenz]]+_xlfn.XLOOKUP(RIGHT(Baukon[[#Headers],[Dicke '[mm'] max]],3),Dämmstoffvarianten[Variante],Dämmstoffvarianten[Differenz Dämmstoffedicke zu Referenz '[mm']]),Baukon[[#This Row],[Dicke '[mm'] Referenz]])</f>
        <v>15</v>
      </c>
      <c r="L42" s="43">
        <v>1</v>
      </c>
      <c r="M42" s="41"/>
      <c r="N42" s="103">
        <f>IFERROR(Baukon[[#This Row],[Dicke '[mm'] Referenz]]/1000*Baukon[[#This Row],[Flächenanteil '[%']]],"")</f>
        <v>1.4999999999999999E-2</v>
      </c>
      <c r="O42" s="103">
        <f>IFERROR(Baukon[[#This Row],[Dicke '[mm'] min]]/1000*Baukon[[#This Row],[Flächenanteil '[%']]],"")</f>
        <v>1.4999999999999999E-2</v>
      </c>
      <c r="P42" s="103">
        <f>IFERROR(Baukon[[#This Row],[Dicke '[mm'] max]]/1000*Baukon[[#This Row],[Flächenanteil '[%']]],"")</f>
        <v>1.4999999999999999E-2</v>
      </c>
      <c r="Q42"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15.75</v>
      </c>
      <c r="R42"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15.75</v>
      </c>
      <c r="S42"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15.75</v>
      </c>
      <c r="T42" s="42"/>
      <c r="U42" s="103" t="str">
        <f>_xlfn.XLOOKUP(Baukon[[#This Row],[Material]],LeitRess_Materialien[Name],LeitRess_Materialien[Material_UUID])</f>
        <v>07f3cd13-22bb-494d-803a-f0a440fbce7a</v>
      </c>
      <c r="V42" s="42">
        <f>_xlfn.XLOOKUP(Baukon[[#This Row],[LCA Datensatz]],LeitRess_Materialien[Material_UUID],LeitRess_Materialien[Rohdichte_'[kg/m3']])</f>
        <v>1050</v>
      </c>
      <c r="W42" s="42">
        <f>_xlfn.XLOOKUP(Baukon[[#This Row],[LCA Datensatz]],LeitRess_Materialien[Material_UUID],LeitRess_Materialien[Flächengewicht_'[kg/m2']])</f>
        <v>0</v>
      </c>
      <c r="X42" s="104">
        <f>_xlfn.XLOOKUP(Baukon[[#This Row],[LCA Datensatz]],LeitRess_Materialien[Material_UUID],LeitRess_Materialien[Längengewicht_'[kg/m']])</f>
        <v>0</v>
      </c>
      <c r="Y42" s="104">
        <f>_xlfn.XLOOKUP(Baukon[[#This Row],[LCA Datensatz]],LeitRess_Materialien[Material_UUID],LeitRess_Materialien[lambda_'[W/mK']])</f>
        <v>1</v>
      </c>
      <c r="Z42" s="103">
        <f>IFERROR(Baukon[[#This Row],[Dicke '[mm'] Referenz]]/Baukon[[#This Row],[lambda_'[W/mK']]],"")</f>
        <v>15</v>
      </c>
      <c r="AA42" s="37">
        <f>_xlfn.XLOOKUP(Baukon[[#This Row],[LCA Datensatz]],LeitRess_Materialien[Material_UUID],LeitRess_Materialien[RMI '[kg Primärrohstoffe / kg']])*Baukon[[#This Row],[Masse '[kg/m²'] Referenz]]</f>
        <v>19.102641975961582</v>
      </c>
      <c r="AB42" s="37">
        <f>_xlfn.XLOOKUP(Baukon[[#This Row],[LCA Datensatz]],LeitRess_Materialien[Material_UUID],LeitRess_Materialien[RMI '[kg Primärrohstoffe / kg']])*Baukon[[#This Row],[Masse '[kg/m²'] min]]</f>
        <v>19.102641975961582</v>
      </c>
      <c r="AC42" s="37">
        <f>_xlfn.XLOOKUP(Baukon[[#This Row],[LCA Datensatz]],LeitRess_Materialien[Material_UUID],LeitRess_Materialien[RMI '[kg Primärrohstoffe / kg']])*Baukon[[#This Row],[Masse '[kg/m²'] max]]</f>
        <v>19.102641975961582</v>
      </c>
      <c r="AD42" s="37">
        <f>_xlfn.XLOOKUP(Baukon[[#This Row],[LCA Datensatz]],LeitRess_Materialien[Material_UUID],LeitRess_Materialien[TMR '[kg Gesamtmaterialaufwand/kg']])*Baukon[[#This Row],[Masse '[kg/m²'] Referenz]]</f>
        <v>19.894952377912816</v>
      </c>
      <c r="AE42" s="37">
        <f>_xlfn.XLOOKUP(Baukon[[#This Row],[LCA Datensatz]],LeitRess_Materialien[Material_UUID],LeitRess_Materialien[TMR '[kg Gesamtmaterialaufwand/kg']])*Baukon[[#This Row],[Masse '[kg/m²'] min]]</f>
        <v>19.894952377912816</v>
      </c>
      <c r="AF42" s="37">
        <f>_xlfn.XLOOKUP(Baukon[[#This Row],[LCA Datensatz]],LeitRess_Materialien[Material_UUID],LeitRess_Materialien[TMR '[kg Gesamtmaterialaufwand/kg']])*Baukon[[#This Row],[Masse '[kg/m²'] max]]</f>
        <v>19.894952377912816</v>
      </c>
      <c r="AG42" s="37">
        <f>_xlfn.XLOOKUP(Baukon[[#This Row],[LCA Datensatz]],LeitRess_Materialien[Material_UUID],LeitRess_Materialien[GWP '[kg CO2-Äqu./kg']])*Baukon[[#This Row],[Masse '[kg/m²'] Referenz]]</f>
        <v>1.8596920563101473</v>
      </c>
      <c r="AH42" s="37">
        <f>_xlfn.XLOOKUP(Baukon[[#This Row],[LCA Datensatz]],LeitRess_Materialien[Material_UUID],LeitRess_Materialien[GWP '[kg CO2-Äqu./kg']])*Baukon[[#This Row],[Masse '[kg/m²'] min]]</f>
        <v>1.8596920563101473</v>
      </c>
      <c r="AI42" s="37">
        <f>_xlfn.XLOOKUP(Baukon[[#This Row],[LCA Datensatz]],LeitRess_Materialien[Material_UUID],LeitRess_Materialien[GWP '[kg CO2-Äqu./kg']])*Baukon[[#This Row],[Masse '[kg/m²'] max]]</f>
        <v>1.8596920563101473</v>
      </c>
      <c r="AJ42" s="37">
        <f>_xlfn.XLOOKUP(Baukon[[#This Row],[LCA Datensatz]],LeitRess_Materialien[Material_UUID],LeitRess_Materialien[PENRT '[MJ/kg']])*Baukon[[#This Row],[Masse '[kg/m²'] Referenz]]</f>
        <v>26.945451563913227</v>
      </c>
      <c r="AK42" s="37">
        <f>_xlfn.XLOOKUP(Baukon[[#This Row],[LCA Datensatz]],LeitRess_Materialien[Material_UUID],LeitRess_Materialien[PENRT '[MJ/kg']])*Baukon[[#This Row],[Masse '[kg/m²'] min]]</f>
        <v>26.945451563913227</v>
      </c>
      <c r="AL42" s="37">
        <f>_xlfn.XLOOKUP(Baukon[[#This Row],[LCA Datensatz]],LeitRess_Materialien[Material_UUID],LeitRess_Materialien[PENRT '[MJ/kg']])*Baukon[[#This Row],[Masse '[kg/m²'] max]]</f>
        <v>26.945451563913227</v>
      </c>
      <c r="AM42" s="37" t="e">
        <f>_xlfn.XLOOKUP(Baukon[[#This Row],[LCA Datensatz]],LeitRess_Materialien[Material_UUID],#REF!)*Baukon[[#This Row],[Masse '[kg/m²'] Referenz]]</f>
        <v>#REF!</v>
      </c>
      <c r="AN42" s="37" t="e">
        <f>_xlfn.XLOOKUP(Baukon[[#This Row],[LCA Datensatz]],LeitRess_Materialien[Material_UUID],#REF!)*Baukon[[#This Row],[Masse '[kg/m²'] min]]</f>
        <v>#REF!</v>
      </c>
      <c r="AO42" s="37" t="e">
        <f>_xlfn.XLOOKUP(Baukon[[#This Row],[LCA Datensatz]],LeitRess_Materialien[Material_UUID],#REF!)*Baukon[[#This Row],[Masse '[kg/m²'] max]]</f>
        <v>#REF!</v>
      </c>
      <c r="AP42" s="37">
        <f>_xlfn.XLOOKUP(Baukon[[#This Row],[LCA Datensatz]],LeitRess_Materialien[Material_UUID],LeitRess_Materialien[WDP '[m³ weighted water/kg']])*Baukon[[#This Row],[Masse '[kg/m²'] Referenz]]</f>
        <v>1.9586296940800589</v>
      </c>
      <c r="AQ42" s="37">
        <f>_xlfn.XLOOKUP(Baukon[[#This Row],[LCA Datensatz]],LeitRess_Materialien[Material_UUID],LeitRess_Materialien[WDP '[m³ weighted water/kg']])*Baukon[[#This Row],[Masse '[kg/m²'] min]]</f>
        <v>1.9586296940800589</v>
      </c>
      <c r="AR42" s="37">
        <f>_xlfn.XLOOKUP(Baukon[[#This Row],[LCA Datensatz]],LeitRess_Materialien[Material_UUID],LeitRess_Materialien[WDP '[m³ weighted water/kg']])*Baukon[[#This Row],[Masse '[kg/m²'] max]]</f>
        <v>1.9586296940800589</v>
      </c>
      <c r="AS42" s="39">
        <f>Baukon[[#This Row],[GWP '[kg CO2-Äqu./m²'] Referenz]]/'Ausgabe Tabellen'!$C$21+Baukon[[#This Row],[PENRT '[MJ/m²'] Referenz]]/'Ausgabe Tabellen'!$C$22+Baukon[[#This Row],[RMI '[kg Primärrohstoffe/m²'] Referenz]]/'Ausgabe Tabellen'!$C$23+Baukon[[#This Row],[WDP '[m² weighted water/m²'] Referenz]]/'Ausgabe Tabellen'!$C$24</f>
        <v>1.0580831622736952E-3</v>
      </c>
      <c r="AT42" s="39">
        <f>Baukon[[#This Row],[GWP '[kg CO2-Äqu./m²'] min]]/'Ausgabe Tabellen'!$C$21+Baukon[[#This Row],[PENRT '[MJ/m²'] min]]/'Ausgabe Tabellen'!$C$22+Baukon[[#This Row],[RMI '[kg Primärrohstoffe/m²'] min]]/'Ausgabe Tabellen'!$C$23+Baukon[[#This Row],[WDP '[m² weighted water/m²'] min]]/'Ausgabe Tabellen'!$C$24</f>
        <v>1.0580831622736952E-3</v>
      </c>
      <c r="AU42" s="39">
        <f>Baukon[[#This Row],[GWP '[kg CO2-Äqu./m²'] max]]/'Ausgabe Tabellen'!$C$21+Baukon[[#This Row],[PENRT '[MJ/m²'] max]]/'Ausgabe Tabellen'!$C$22+Baukon[[#This Row],[RMI '[kg Primärrohstoffe/m²'] max]]/'Ausgabe Tabellen'!$C$23+Baukon[[#This Row],[WDP '[m² weighted water/m²'] max]]/'Ausgabe Tabellen'!$C$24</f>
        <v>1.0580831622736952E-3</v>
      </c>
    </row>
    <row r="43" spans="1:47" s="24" customFormat="1" ht="15.75" x14ac:dyDescent="0.5">
      <c r="A43" s="36" t="s">
        <v>87</v>
      </c>
      <c r="B43" s="36" t="s">
        <v>308</v>
      </c>
      <c r="C43" s="36">
        <v>3</v>
      </c>
      <c r="D43" s="36" t="s">
        <v>314</v>
      </c>
      <c r="E43" s="36" t="str">
        <f>Baukon[[#This Row],[Variante Nummer]]&amp;". "&amp;Baukon[[#This Row],[Name Baukonstruktion]]&amp;" | " &amp;Baukon[[#This Row],[Variante Name]]</f>
        <v>3. Mauerwerk, einschalig - Kalksandstein (KS) mit Dämmung | Zellulose</v>
      </c>
      <c r="F43" s="36" t="s">
        <v>324</v>
      </c>
      <c r="G43" s="36" t="s">
        <v>240</v>
      </c>
      <c r="H43" s="36" t="s">
        <v>225</v>
      </c>
      <c r="I43" s="41" t="s">
        <v>498</v>
      </c>
      <c r="J43" s="36" t="str">
        <f>IF(Baukon[[#This Row],[Material ist Dämmstoff?]]="ja",Baukon[[#This Row],[Dicke '[mm'] Referenz]]+_xlfn.XLOOKUP(RIGHT(Baukon[[#Headers],[Dicke '[mm'] min]],3),Dämmstoffvarianten[Variante],Dämmstoffvarianten[Differenz Dämmstoffedicke zu Referenz '[mm']]),Baukon[[#This Row],[Dicke '[mm'] Referenz]])</f>
        <v>12,5</v>
      </c>
      <c r="K43" s="36" t="str">
        <f>IF(Baukon[[#This Row],[Material ist Dämmstoff?]]="ja",Baukon[[#This Row],[Dicke '[mm'] Referenz]]+_xlfn.XLOOKUP(RIGHT(Baukon[[#Headers],[Dicke '[mm'] max]],3),Dämmstoffvarianten[Variante],Dämmstoffvarianten[Differenz Dämmstoffedicke zu Referenz '[mm']]),Baukon[[#This Row],[Dicke '[mm'] Referenz]])</f>
        <v>12,5</v>
      </c>
      <c r="L43" s="43">
        <v>1</v>
      </c>
      <c r="M43" s="41"/>
      <c r="N43" s="103">
        <f>IFERROR(Baukon[[#This Row],[Dicke '[mm'] Referenz]]/1000*Baukon[[#This Row],[Flächenanteil '[%']]],"")</f>
        <v>1.2500000000000001E-2</v>
      </c>
      <c r="O43" s="103">
        <f>IFERROR(Baukon[[#This Row],[Dicke '[mm'] min]]/1000*Baukon[[#This Row],[Flächenanteil '[%']]],"")</f>
        <v>1.2500000000000001E-2</v>
      </c>
      <c r="P43" s="103">
        <f>IFERROR(Baukon[[#This Row],[Dicke '[mm'] max]]/1000*Baukon[[#This Row],[Flächenanteil '[%']]],"")</f>
        <v>1.2500000000000001E-2</v>
      </c>
      <c r="Q43"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10</v>
      </c>
      <c r="R43"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10</v>
      </c>
      <c r="S43"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10</v>
      </c>
      <c r="T43" s="42"/>
      <c r="U43" s="103" t="str">
        <f>_xlfn.XLOOKUP(Baukon[[#This Row],[Material]],LeitRess_Materialien[Name],LeitRess_Materialien[Material_UUID])</f>
        <v>07423e99-8c7c-4e93-8311-dcf7ae85c41d</v>
      </c>
      <c r="V43" s="42">
        <f>_xlfn.XLOOKUP(Baukon[[#This Row],[LCA Datensatz]],LeitRess_Materialien[Material_UUID],LeitRess_Materialien[Rohdichte_'[kg/m3']])</f>
        <v>800</v>
      </c>
      <c r="W43" s="42">
        <f>_xlfn.XLOOKUP(Baukon[[#This Row],[LCA Datensatz]],LeitRess_Materialien[Material_UUID],LeitRess_Materialien[Flächengewicht_'[kg/m2']])</f>
        <v>10</v>
      </c>
      <c r="X43" s="104">
        <f>_xlfn.XLOOKUP(Baukon[[#This Row],[LCA Datensatz]],LeitRess_Materialien[Material_UUID],LeitRess_Materialien[Längengewicht_'[kg/m']])</f>
        <v>0</v>
      </c>
      <c r="Y43" s="104">
        <f>_xlfn.XLOOKUP(Baukon[[#This Row],[LCA Datensatz]],LeitRess_Materialien[Material_UUID],LeitRess_Materialien[lambda_'[W/mK']])</f>
        <v>0.2</v>
      </c>
      <c r="Z43" s="103">
        <f>IFERROR(Baukon[[#This Row],[Dicke '[mm'] Referenz]]/Baukon[[#This Row],[lambda_'[W/mK']]],"")</f>
        <v>62.5</v>
      </c>
      <c r="AA43" s="37">
        <f>_xlfn.XLOOKUP(Baukon[[#This Row],[LCA Datensatz]],LeitRess_Materialien[Material_UUID],LeitRess_Materialien[RMI '[kg Primärrohstoffe / kg']])*Baukon[[#This Row],[Masse '[kg/m²'] Referenz]]</f>
        <v>9.6885190926662101</v>
      </c>
      <c r="AB43" s="37">
        <f>_xlfn.XLOOKUP(Baukon[[#This Row],[LCA Datensatz]],LeitRess_Materialien[Material_UUID],LeitRess_Materialien[RMI '[kg Primärrohstoffe / kg']])*Baukon[[#This Row],[Masse '[kg/m²'] min]]</f>
        <v>9.6885190926662101</v>
      </c>
      <c r="AC43" s="37">
        <f>_xlfn.XLOOKUP(Baukon[[#This Row],[LCA Datensatz]],LeitRess_Materialien[Material_UUID],LeitRess_Materialien[RMI '[kg Primärrohstoffe / kg']])*Baukon[[#This Row],[Masse '[kg/m²'] max]]</f>
        <v>9.6885190926662101</v>
      </c>
      <c r="AD43" s="37">
        <f>_xlfn.XLOOKUP(Baukon[[#This Row],[LCA Datensatz]],LeitRess_Materialien[Material_UUID],LeitRess_Materialien[TMR '[kg Gesamtmaterialaufwand/kg']])*Baukon[[#This Row],[Masse '[kg/m²'] Referenz]]</f>
        <v>10.504992021872901</v>
      </c>
      <c r="AE43" s="37">
        <f>_xlfn.XLOOKUP(Baukon[[#This Row],[LCA Datensatz]],LeitRess_Materialien[Material_UUID],LeitRess_Materialien[TMR '[kg Gesamtmaterialaufwand/kg']])*Baukon[[#This Row],[Masse '[kg/m²'] min]]</f>
        <v>10.504992021872901</v>
      </c>
      <c r="AF43" s="37">
        <f>_xlfn.XLOOKUP(Baukon[[#This Row],[LCA Datensatz]],LeitRess_Materialien[Material_UUID],LeitRess_Materialien[TMR '[kg Gesamtmaterialaufwand/kg']])*Baukon[[#This Row],[Masse '[kg/m²'] max]]</f>
        <v>10.504992021872901</v>
      </c>
      <c r="AG43" s="37">
        <f>_xlfn.XLOOKUP(Baukon[[#This Row],[LCA Datensatz]],LeitRess_Materialien[Material_UUID],LeitRess_Materialien[GWP '[kg CO2-Äqu./kg']])*Baukon[[#This Row],[Masse '[kg/m²'] Referenz]]</f>
        <v>2.5140556386449697</v>
      </c>
      <c r="AH43" s="37">
        <f>_xlfn.XLOOKUP(Baukon[[#This Row],[LCA Datensatz]],LeitRess_Materialien[Material_UUID],LeitRess_Materialien[GWP '[kg CO2-Äqu./kg']])*Baukon[[#This Row],[Masse '[kg/m²'] min]]</f>
        <v>2.5140556386449697</v>
      </c>
      <c r="AI43" s="37">
        <f>_xlfn.XLOOKUP(Baukon[[#This Row],[LCA Datensatz]],LeitRess_Materialien[Material_UUID],LeitRess_Materialien[GWP '[kg CO2-Äqu./kg']])*Baukon[[#This Row],[Masse '[kg/m²'] max]]</f>
        <v>2.5140556386449697</v>
      </c>
      <c r="AJ43" s="37">
        <f>_xlfn.XLOOKUP(Baukon[[#This Row],[LCA Datensatz]],LeitRess_Materialien[Material_UUID],LeitRess_Materialien[PENRT '[MJ/kg']])*Baukon[[#This Row],[Masse '[kg/m²'] Referenz]]</f>
        <v>38.560990916917703</v>
      </c>
      <c r="AK43" s="37">
        <f>_xlfn.XLOOKUP(Baukon[[#This Row],[LCA Datensatz]],LeitRess_Materialien[Material_UUID],LeitRess_Materialien[PENRT '[MJ/kg']])*Baukon[[#This Row],[Masse '[kg/m²'] min]]</f>
        <v>38.560990916917703</v>
      </c>
      <c r="AL43" s="37">
        <f>_xlfn.XLOOKUP(Baukon[[#This Row],[LCA Datensatz]],LeitRess_Materialien[Material_UUID],LeitRess_Materialien[PENRT '[MJ/kg']])*Baukon[[#This Row],[Masse '[kg/m²'] max]]</f>
        <v>38.560990916917703</v>
      </c>
      <c r="AM43" s="37" t="e">
        <f>_xlfn.XLOOKUP(Baukon[[#This Row],[LCA Datensatz]],LeitRess_Materialien[Material_UUID],#REF!)*Baukon[[#This Row],[Masse '[kg/m²'] Referenz]]</f>
        <v>#REF!</v>
      </c>
      <c r="AN43" s="37" t="e">
        <f>_xlfn.XLOOKUP(Baukon[[#This Row],[LCA Datensatz]],LeitRess_Materialien[Material_UUID],#REF!)*Baukon[[#This Row],[Masse '[kg/m²'] min]]</f>
        <v>#REF!</v>
      </c>
      <c r="AO43" s="37" t="e">
        <f>_xlfn.XLOOKUP(Baukon[[#This Row],[LCA Datensatz]],LeitRess_Materialien[Material_UUID],#REF!)*Baukon[[#This Row],[Masse '[kg/m²'] max]]</f>
        <v>#REF!</v>
      </c>
      <c r="AP43" s="37">
        <f>_xlfn.XLOOKUP(Baukon[[#This Row],[LCA Datensatz]],LeitRess_Materialien[Material_UUID],LeitRess_Materialien[WDP '[m³ weighted water/kg']])*Baukon[[#This Row],[Masse '[kg/m²'] Referenz]]</f>
        <v>1.2506783392176499</v>
      </c>
      <c r="AQ43" s="37">
        <f>_xlfn.XLOOKUP(Baukon[[#This Row],[LCA Datensatz]],LeitRess_Materialien[Material_UUID],LeitRess_Materialien[WDP '[m³ weighted water/kg']])*Baukon[[#This Row],[Masse '[kg/m²'] min]]</f>
        <v>1.2506783392176499</v>
      </c>
      <c r="AR43" s="37">
        <f>_xlfn.XLOOKUP(Baukon[[#This Row],[LCA Datensatz]],LeitRess_Materialien[Material_UUID],LeitRess_Materialien[WDP '[m³ weighted water/kg']])*Baukon[[#This Row],[Masse '[kg/m²'] max]]</f>
        <v>1.2506783392176499</v>
      </c>
      <c r="AS43" s="39">
        <f>Baukon[[#This Row],[GWP '[kg CO2-Äqu./m²'] Referenz]]/'Ausgabe Tabellen'!$C$21+Baukon[[#This Row],[PENRT '[MJ/m²'] Referenz]]/'Ausgabe Tabellen'!$C$22+Baukon[[#This Row],[RMI '[kg Primärrohstoffe/m²'] Referenz]]/'Ausgabe Tabellen'!$C$23+Baukon[[#This Row],[WDP '[m² weighted water/m²'] Referenz]]/'Ausgabe Tabellen'!$C$24</f>
        <v>8.7990794098609262E-4</v>
      </c>
      <c r="AT43" s="39">
        <f>Baukon[[#This Row],[GWP '[kg CO2-Äqu./m²'] min]]/'Ausgabe Tabellen'!$C$21+Baukon[[#This Row],[PENRT '[MJ/m²'] min]]/'Ausgabe Tabellen'!$C$22+Baukon[[#This Row],[RMI '[kg Primärrohstoffe/m²'] min]]/'Ausgabe Tabellen'!$C$23+Baukon[[#This Row],[WDP '[m² weighted water/m²'] min]]/'Ausgabe Tabellen'!$C$24</f>
        <v>8.7990794098609262E-4</v>
      </c>
      <c r="AU43" s="39">
        <f>Baukon[[#This Row],[GWP '[kg CO2-Äqu./m²'] max]]/'Ausgabe Tabellen'!$C$21+Baukon[[#This Row],[PENRT '[MJ/m²'] max]]/'Ausgabe Tabellen'!$C$22+Baukon[[#This Row],[RMI '[kg Primärrohstoffe/m²'] max]]/'Ausgabe Tabellen'!$C$23+Baukon[[#This Row],[WDP '[m² weighted water/m²'] max]]/'Ausgabe Tabellen'!$C$24</f>
        <v>8.7990794098609262E-4</v>
      </c>
    </row>
    <row r="44" spans="1:47" s="24" customFormat="1" ht="15.75" x14ac:dyDescent="0.5">
      <c r="A44" s="36" t="s">
        <v>87</v>
      </c>
      <c r="B44" s="36" t="s">
        <v>308</v>
      </c>
      <c r="C44" s="36">
        <v>3</v>
      </c>
      <c r="D44" s="36" t="s">
        <v>314</v>
      </c>
      <c r="E44" s="36" t="str">
        <f>Baukon[[#This Row],[Variante Nummer]]&amp;". "&amp;Baukon[[#This Row],[Name Baukonstruktion]]&amp;" | " &amp;Baukon[[#This Row],[Variante Name]]</f>
        <v>3. Mauerwerk, einschalig - Kalksandstein (KS) mit Dämmung | Zellulose</v>
      </c>
      <c r="F44" s="36" t="s">
        <v>333</v>
      </c>
      <c r="G44" s="36" t="s">
        <v>276</v>
      </c>
      <c r="H44" s="36" t="s">
        <v>228</v>
      </c>
      <c r="I44" s="41">
        <v>120</v>
      </c>
      <c r="J44" s="36">
        <f>IF(Baukon[[#This Row],[Material ist Dämmstoff?]]="ja",Baukon[[#This Row],[Dicke '[mm'] Referenz]]+_xlfn.XLOOKUP(RIGHT(Baukon[[#Headers],[Dicke '[mm'] min]],3),Dämmstoffvarianten[Variante],Dämmstoffvarianten[Differenz Dämmstoffedicke zu Referenz '[mm']]),Baukon[[#This Row],[Dicke '[mm'] Referenz]])</f>
        <v>80</v>
      </c>
      <c r="K44" s="36">
        <f>IF(Baukon[[#This Row],[Material ist Dämmstoff?]]="ja",Baukon[[#This Row],[Dicke '[mm'] Referenz]]+_xlfn.XLOOKUP(RIGHT(Baukon[[#Headers],[Dicke '[mm'] max]],3),Dämmstoffvarianten[Variante],Dämmstoffvarianten[Differenz Dämmstoffedicke zu Referenz '[mm']]),Baukon[[#This Row],[Dicke '[mm'] Referenz]])</f>
        <v>200</v>
      </c>
      <c r="L44" s="43">
        <v>1</v>
      </c>
      <c r="M44" s="41"/>
      <c r="N44" s="103">
        <f>IFERROR(Baukon[[#This Row],[Dicke '[mm'] Referenz]]/1000*Baukon[[#This Row],[Flächenanteil '[%']]],"")</f>
        <v>0.12</v>
      </c>
      <c r="O44" s="103">
        <f>IFERROR(Baukon[[#This Row],[Dicke '[mm'] min]]/1000*Baukon[[#This Row],[Flächenanteil '[%']]],"")</f>
        <v>0.08</v>
      </c>
      <c r="P44" s="103">
        <f>IFERROR(Baukon[[#This Row],[Dicke '[mm'] max]]/1000*Baukon[[#This Row],[Flächenanteil '[%']]],"")</f>
        <v>0.2</v>
      </c>
      <c r="Q44"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9.6</v>
      </c>
      <c r="R44"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6.4</v>
      </c>
      <c r="S44"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16</v>
      </c>
      <c r="T44" s="42"/>
      <c r="U44" s="103" t="str">
        <f>_xlfn.XLOOKUP(Baukon[[#This Row],[Material]],LeitRess_Materialien[Name],LeitRess_Materialien[Material_UUID])</f>
        <v>cf963fcb-0e03-48c0-b501-ad0d1e3c22c0</v>
      </c>
      <c r="V44" s="42">
        <f>_xlfn.XLOOKUP(Baukon[[#This Row],[LCA Datensatz]],LeitRess_Materialien[Material_UUID],LeitRess_Materialien[Rohdichte_'[kg/m3']])</f>
        <v>80</v>
      </c>
      <c r="W44" s="42">
        <f>_xlfn.XLOOKUP(Baukon[[#This Row],[LCA Datensatz]],LeitRess_Materialien[Material_UUID],LeitRess_Materialien[Flächengewicht_'[kg/m2']])</f>
        <v>0</v>
      </c>
      <c r="X44" s="104">
        <f>_xlfn.XLOOKUP(Baukon[[#This Row],[LCA Datensatz]],LeitRess_Materialien[Material_UUID],LeitRess_Materialien[Längengewicht_'[kg/m']])</f>
        <v>0</v>
      </c>
      <c r="Y44" s="104">
        <f>_xlfn.XLOOKUP(Baukon[[#This Row],[LCA Datensatz]],LeitRess_Materialien[Material_UUID],LeitRess_Materialien[lambda_'[W/mK']])</f>
        <v>3.9E-2</v>
      </c>
      <c r="Z44" s="103">
        <f>IFERROR(Baukon[[#This Row],[Dicke '[mm'] Referenz]]/Baukon[[#This Row],[lambda_'[W/mK']]],"")</f>
        <v>3076.9230769230771</v>
      </c>
      <c r="AA44" s="37">
        <f>_xlfn.XLOOKUP(Baukon[[#This Row],[LCA Datensatz]],LeitRess_Materialien[Material_UUID],LeitRess_Materialien[RMI '[kg Primärrohstoffe / kg']])*Baukon[[#This Row],[Masse '[kg/m²'] Referenz]]</f>
        <v>14.796094396431119</v>
      </c>
      <c r="AB44" s="37">
        <f>_xlfn.XLOOKUP(Baukon[[#This Row],[LCA Datensatz]],LeitRess_Materialien[Material_UUID],LeitRess_Materialien[RMI '[kg Primärrohstoffe / kg']])*Baukon[[#This Row],[Masse '[kg/m²'] min]]</f>
        <v>9.8640629309540806</v>
      </c>
      <c r="AC44" s="37">
        <f>_xlfn.XLOOKUP(Baukon[[#This Row],[LCA Datensatz]],LeitRess_Materialien[Material_UUID],LeitRess_Materialien[RMI '[kg Primärrohstoffe / kg']])*Baukon[[#This Row],[Masse '[kg/m²'] max]]</f>
        <v>24.6601573273852</v>
      </c>
      <c r="AD44" s="37">
        <f>_xlfn.XLOOKUP(Baukon[[#This Row],[LCA Datensatz]],LeitRess_Materialien[Material_UUID],LeitRess_Materialien[TMR '[kg Gesamtmaterialaufwand/kg']])*Baukon[[#This Row],[Masse '[kg/m²'] Referenz]]</f>
        <v>18.685303416284039</v>
      </c>
      <c r="AE44" s="37">
        <f>_xlfn.XLOOKUP(Baukon[[#This Row],[LCA Datensatz]],LeitRess_Materialien[Material_UUID],LeitRess_Materialien[TMR '[kg Gesamtmaterialaufwand/kg']])*Baukon[[#This Row],[Masse '[kg/m²'] min]]</f>
        <v>12.45686894418936</v>
      </c>
      <c r="AF44" s="37">
        <f>_xlfn.XLOOKUP(Baukon[[#This Row],[LCA Datensatz]],LeitRess_Materialien[Material_UUID],LeitRess_Materialien[TMR '[kg Gesamtmaterialaufwand/kg']])*Baukon[[#This Row],[Masse '[kg/m²'] max]]</f>
        <v>31.142172360473399</v>
      </c>
      <c r="AG44" s="37">
        <f>_xlfn.XLOOKUP(Baukon[[#This Row],[LCA Datensatz]],LeitRess_Materialien[Material_UUID],LeitRess_Materialien[GWP '[kg CO2-Äqu./kg']])*Baukon[[#This Row],[Masse '[kg/m²'] Referenz]]</f>
        <v>6.0111809791005832</v>
      </c>
      <c r="AH44" s="37">
        <f>_xlfn.XLOOKUP(Baukon[[#This Row],[LCA Datensatz]],LeitRess_Materialien[Material_UUID],LeitRess_Materialien[GWP '[kg CO2-Äqu./kg']])*Baukon[[#This Row],[Masse '[kg/m²'] min]]</f>
        <v>4.0074539860670555</v>
      </c>
      <c r="AI44" s="37">
        <f>_xlfn.XLOOKUP(Baukon[[#This Row],[LCA Datensatz]],LeitRess_Materialien[Material_UUID],LeitRess_Materialien[GWP '[kg CO2-Äqu./kg']])*Baukon[[#This Row],[Masse '[kg/m²'] max]]</f>
        <v>10.018634965167639</v>
      </c>
      <c r="AJ44" s="37">
        <f>_xlfn.XLOOKUP(Baukon[[#This Row],[LCA Datensatz]],LeitRess_Materialien[Material_UUID],LeitRess_Materialien[PENRT '[MJ/kg']])*Baukon[[#This Row],[Masse '[kg/m²'] Referenz]]</f>
        <v>94.379216003413674</v>
      </c>
      <c r="AK44" s="37">
        <f>_xlfn.XLOOKUP(Baukon[[#This Row],[LCA Datensatz]],LeitRess_Materialien[Material_UUID],LeitRess_Materialien[PENRT '[MJ/kg']])*Baukon[[#This Row],[Masse '[kg/m²'] min]]</f>
        <v>62.919477335609123</v>
      </c>
      <c r="AL44" s="37">
        <f>_xlfn.XLOOKUP(Baukon[[#This Row],[LCA Datensatz]],LeitRess_Materialien[Material_UUID],LeitRess_Materialien[PENRT '[MJ/kg']])*Baukon[[#This Row],[Masse '[kg/m²'] max]]</f>
        <v>157.2986933390228</v>
      </c>
      <c r="AM44" s="37" t="e">
        <f>_xlfn.XLOOKUP(Baukon[[#This Row],[LCA Datensatz]],LeitRess_Materialien[Material_UUID],#REF!)*Baukon[[#This Row],[Masse '[kg/m²'] Referenz]]</f>
        <v>#REF!</v>
      </c>
      <c r="AN44" s="37" t="e">
        <f>_xlfn.XLOOKUP(Baukon[[#This Row],[LCA Datensatz]],LeitRess_Materialien[Material_UUID],#REF!)*Baukon[[#This Row],[Masse '[kg/m²'] min]]</f>
        <v>#REF!</v>
      </c>
      <c r="AO44" s="37" t="e">
        <f>_xlfn.XLOOKUP(Baukon[[#This Row],[LCA Datensatz]],LeitRess_Materialien[Material_UUID],#REF!)*Baukon[[#This Row],[Masse '[kg/m²'] max]]</f>
        <v>#REF!</v>
      </c>
      <c r="AP44" s="37">
        <f>_xlfn.XLOOKUP(Baukon[[#This Row],[LCA Datensatz]],LeitRess_Materialien[Material_UUID],LeitRess_Materialien[WDP '[m³ weighted water/kg']])*Baukon[[#This Row],[Masse '[kg/m²'] Referenz]]</f>
        <v>0.75341689420370306</v>
      </c>
      <c r="AQ44" s="37">
        <f>_xlfn.XLOOKUP(Baukon[[#This Row],[LCA Datensatz]],LeitRess_Materialien[Material_UUID],LeitRess_Materialien[WDP '[m³ weighted water/kg']])*Baukon[[#This Row],[Masse '[kg/m²'] min]]</f>
        <v>0.50227792946913541</v>
      </c>
      <c r="AR44" s="37">
        <f>_xlfn.XLOOKUP(Baukon[[#This Row],[LCA Datensatz]],LeitRess_Materialien[Material_UUID],LeitRess_Materialien[WDP '[m³ weighted water/kg']])*Baukon[[#This Row],[Masse '[kg/m²'] max]]</f>
        <v>1.2556948236728385</v>
      </c>
      <c r="AS44" s="39">
        <f>Baukon[[#This Row],[GWP '[kg CO2-Äqu./m²'] Referenz]]/'Ausgabe Tabellen'!$C$21+Baukon[[#This Row],[PENRT '[MJ/m²'] Referenz]]/'Ausgabe Tabellen'!$C$22+Baukon[[#This Row],[RMI '[kg Primärrohstoffe/m²'] Referenz]]/'Ausgabe Tabellen'!$C$23+Baukon[[#This Row],[WDP '[m² weighted water/m²'] Referenz]]/'Ausgabe Tabellen'!$C$24</f>
        <v>1.692173583008357E-3</v>
      </c>
      <c r="AT44" s="39">
        <f>Baukon[[#This Row],[GWP '[kg CO2-Äqu./m²'] min]]/'Ausgabe Tabellen'!$C$21+Baukon[[#This Row],[PENRT '[MJ/m²'] min]]/'Ausgabe Tabellen'!$C$22+Baukon[[#This Row],[RMI '[kg Primärrohstoffe/m²'] min]]/'Ausgabe Tabellen'!$C$23+Baukon[[#This Row],[WDP '[m² weighted water/m²'] min]]/'Ausgabe Tabellen'!$C$24</f>
        <v>1.1281157220055713E-3</v>
      </c>
      <c r="AU44" s="39">
        <f>Baukon[[#This Row],[GWP '[kg CO2-Äqu./m²'] max]]/'Ausgabe Tabellen'!$C$21+Baukon[[#This Row],[PENRT '[MJ/m²'] max]]/'Ausgabe Tabellen'!$C$22+Baukon[[#This Row],[RMI '[kg Primärrohstoffe/m²'] max]]/'Ausgabe Tabellen'!$C$23+Baukon[[#This Row],[WDP '[m² weighted water/m²'] max]]/'Ausgabe Tabellen'!$C$24</f>
        <v>2.8202893050139283E-3</v>
      </c>
    </row>
    <row r="45" spans="1:47" s="24" customFormat="1" ht="15.75" x14ac:dyDescent="0.5">
      <c r="A45" s="36" t="s">
        <v>87</v>
      </c>
      <c r="B45" s="36" t="s">
        <v>308</v>
      </c>
      <c r="C45" s="36">
        <v>3</v>
      </c>
      <c r="D45" s="36" t="s">
        <v>314</v>
      </c>
      <c r="E45" s="36" t="str">
        <f>Baukon[[#This Row],[Variante Nummer]]&amp;". "&amp;Baukon[[#This Row],[Name Baukonstruktion]]&amp;" | " &amp;Baukon[[#This Row],[Variante Name]]</f>
        <v>3. Mauerwerk, einschalig - Kalksandstein (KS) mit Dämmung | Zellulose</v>
      </c>
      <c r="F45" s="36" t="s">
        <v>264</v>
      </c>
      <c r="G45" s="36" t="s">
        <v>264</v>
      </c>
      <c r="H45" s="36" t="s">
        <v>225</v>
      </c>
      <c r="I45" s="41">
        <v>175</v>
      </c>
      <c r="J45" s="36">
        <f>IF(Baukon[[#This Row],[Material ist Dämmstoff?]]="ja",Baukon[[#This Row],[Dicke '[mm'] Referenz]]+_xlfn.XLOOKUP(RIGHT(Baukon[[#Headers],[Dicke '[mm'] min]],3),Dämmstoffvarianten[Variante],Dämmstoffvarianten[Differenz Dämmstoffedicke zu Referenz '[mm']]),Baukon[[#This Row],[Dicke '[mm'] Referenz]])</f>
        <v>175</v>
      </c>
      <c r="K45" s="36">
        <f>IF(Baukon[[#This Row],[Material ist Dämmstoff?]]="ja",Baukon[[#This Row],[Dicke '[mm'] Referenz]]+_xlfn.XLOOKUP(RIGHT(Baukon[[#Headers],[Dicke '[mm'] max]],3),Dämmstoffvarianten[Variante],Dämmstoffvarianten[Differenz Dämmstoffedicke zu Referenz '[mm']]),Baukon[[#This Row],[Dicke '[mm'] Referenz]])</f>
        <v>175</v>
      </c>
      <c r="L45" s="43">
        <v>1</v>
      </c>
      <c r="M45" s="41"/>
      <c r="N45" s="103">
        <f>IFERROR(Baukon[[#This Row],[Dicke '[mm'] Referenz]]/1000*Baukon[[#This Row],[Flächenanteil '[%']]],"")</f>
        <v>0.17499999999999999</v>
      </c>
      <c r="O45" s="103">
        <f>IFERROR(Baukon[[#This Row],[Dicke '[mm'] min]]/1000*Baukon[[#This Row],[Flächenanteil '[%']]],"")</f>
        <v>0.17499999999999999</v>
      </c>
      <c r="P45" s="103">
        <f>IFERROR(Baukon[[#This Row],[Dicke '[mm'] max]]/1000*Baukon[[#This Row],[Flächenanteil '[%']]],"")</f>
        <v>0.17499999999999999</v>
      </c>
      <c r="Q45"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350</v>
      </c>
      <c r="R45"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350</v>
      </c>
      <c r="S45"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350</v>
      </c>
      <c r="T45" s="42"/>
      <c r="U45" s="103" t="str">
        <f>_xlfn.XLOOKUP(Baukon[[#This Row],[Material]],LeitRess_Materialien[Name],LeitRess_Materialien[Material_UUID])</f>
        <v>29e6c6cf-0552-4e4b-85c7-26a68a625252</v>
      </c>
      <c r="V45" s="42">
        <f>_xlfn.XLOOKUP(Baukon[[#This Row],[LCA Datensatz]],LeitRess_Materialien[Material_UUID],LeitRess_Materialien[Rohdichte_'[kg/m3']])</f>
        <v>2000</v>
      </c>
      <c r="W45" s="42">
        <f>_xlfn.XLOOKUP(Baukon[[#This Row],[LCA Datensatz]],LeitRess_Materialien[Material_UUID],LeitRess_Materialien[Flächengewicht_'[kg/m2']])</f>
        <v>0</v>
      </c>
      <c r="X45" s="104">
        <f>_xlfn.XLOOKUP(Baukon[[#This Row],[LCA Datensatz]],LeitRess_Materialien[Material_UUID],LeitRess_Materialien[Längengewicht_'[kg/m']])</f>
        <v>0</v>
      </c>
      <c r="Y45" s="104">
        <f>_xlfn.XLOOKUP(Baukon[[#This Row],[LCA Datensatz]],LeitRess_Materialien[Material_UUID],LeitRess_Materialien[lambda_'[W/mK']])</f>
        <v>0.9</v>
      </c>
      <c r="Z45" s="103">
        <f>IFERROR(Baukon[[#This Row],[Dicke '[mm'] Referenz]]/Baukon[[#This Row],[lambda_'[W/mK']]],"")</f>
        <v>194.44444444444443</v>
      </c>
      <c r="AA45" s="37">
        <f>_xlfn.XLOOKUP(Baukon[[#This Row],[LCA Datensatz]],LeitRess_Materialien[Material_UUID],LeitRess_Materialien[RMI '[kg Primärrohstoffe / kg']])*Baukon[[#This Row],[Masse '[kg/m²'] Referenz]]</f>
        <v>426.25431281493201</v>
      </c>
      <c r="AB45" s="37">
        <f>_xlfn.XLOOKUP(Baukon[[#This Row],[LCA Datensatz]],LeitRess_Materialien[Material_UUID],LeitRess_Materialien[RMI '[kg Primärrohstoffe / kg']])*Baukon[[#This Row],[Masse '[kg/m²'] min]]</f>
        <v>426.25431281493201</v>
      </c>
      <c r="AC45" s="37">
        <f>_xlfn.XLOOKUP(Baukon[[#This Row],[LCA Datensatz]],LeitRess_Materialien[Material_UUID],LeitRess_Materialien[RMI '[kg Primärrohstoffe / kg']])*Baukon[[#This Row],[Masse '[kg/m²'] max]]</f>
        <v>426.25431281493201</v>
      </c>
      <c r="AD45" s="37">
        <f>_xlfn.XLOOKUP(Baukon[[#This Row],[LCA Datensatz]],LeitRess_Materialien[Material_UUID],LeitRess_Materialien[TMR '[kg Gesamtmaterialaufwand/kg']])*Baukon[[#This Row],[Masse '[kg/m²'] Referenz]]</f>
        <v>435.89904950309898</v>
      </c>
      <c r="AE45" s="37">
        <f>_xlfn.XLOOKUP(Baukon[[#This Row],[LCA Datensatz]],LeitRess_Materialien[Material_UUID],LeitRess_Materialien[TMR '[kg Gesamtmaterialaufwand/kg']])*Baukon[[#This Row],[Masse '[kg/m²'] min]]</f>
        <v>435.89904950309898</v>
      </c>
      <c r="AF45" s="37">
        <f>_xlfn.XLOOKUP(Baukon[[#This Row],[LCA Datensatz]],LeitRess_Materialien[Material_UUID],LeitRess_Materialien[TMR '[kg Gesamtmaterialaufwand/kg']])*Baukon[[#This Row],[Masse '[kg/m²'] max]]</f>
        <v>435.89904950309898</v>
      </c>
      <c r="AG45" s="37">
        <f>_xlfn.XLOOKUP(Baukon[[#This Row],[LCA Datensatz]],LeitRess_Materialien[Material_UUID],LeitRess_Materialien[GWP '[kg CO2-Äqu./kg']])*Baukon[[#This Row],[Masse '[kg/m²'] Referenz]]</f>
        <v>51.831618606228297</v>
      </c>
      <c r="AH45" s="37">
        <f>_xlfn.XLOOKUP(Baukon[[#This Row],[LCA Datensatz]],LeitRess_Materialien[Material_UUID],LeitRess_Materialien[GWP '[kg CO2-Äqu./kg']])*Baukon[[#This Row],[Masse '[kg/m²'] min]]</f>
        <v>51.831618606228297</v>
      </c>
      <c r="AI45" s="37">
        <f>_xlfn.XLOOKUP(Baukon[[#This Row],[LCA Datensatz]],LeitRess_Materialien[Material_UUID],LeitRess_Materialien[GWP '[kg CO2-Äqu./kg']])*Baukon[[#This Row],[Masse '[kg/m²'] max]]</f>
        <v>51.831618606228297</v>
      </c>
      <c r="AJ45" s="37">
        <f>_xlfn.XLOOKUP(Baukon[[#This Row],[LCA Datensatz]],LeitRess_Materialien[Material_UUID],LeitRess_Materialien[PENRT '[MJ/kg']])*Baukon[[#This Row],[Masse '[kg/m²'] Referenz]]</f>
        <v>407.24317030097745</v>
      </c>
      <c r="AK45" s="37">
        <f>_xlfn.XLOOKUP(Baukon[[#This Row],[LCA Datensatz]],LeitRess_Materialien[Material_UUID],LeitRess_Materialien[PENRT '[MJ/kg']])*Baukon[[#This Row],[Masse '[kg/m²'] min]]</f>
        <v>407.24317030097745</v>
      </c>
      <c r="AL45" s="37">
        <f>_xlfn.XLOOKUP(Baukon[[#This Row],[LCA Datensatz]],LeitRess_Materialien[Material_UUID],LeitRess_Materialien[PENRT '[MJ/kg']])*Baukon[[#This Row],[Masse '[kg/m²'] max]]</f>
        <v>407.24317030097745</v>
      </c>
      <c r="AM45" s="37" t="e">
        <f>_xlfn.XLOOKUP(Baukon[[#This Row],[LCA Datensatz]],LeitRess_Materialien[Material_UUID],#REF!)*Baukon[[#This Row],[Masse '[kg/m²'] Referenz]]</f>
        <v>#REF!</v>
      </c>
      <c r="AN45" s="37" t="e">
        <f>_xlfn.XLOOKUP(Baukon[[#This Row],[LCA Datensatz]],LeitRess_Materialien[Material_UUID],#REF!)*Baukon[[#This Row],[Masse '[kg/m²'] min]]</f>
        <v>#REF!</v>
      </c>
      <c r="AO45" s="37" t="e">
        <f>_xlfn.XLOOKUP(Baukon[[#This Row],[LCA Datensatz]],LeitRess_Materialien[Material_UUID],#REF!)*Baukon[[#This Row],[Masse '[kg/m²'] max]]</f>
        <v>#REF!</v>
      </c>
      <c r="AP45" s="37">
        <f>_xlfn.XLOOKUP(Baukon[[#This Row],[LCA Datensatz]],LeitRess_Materialien[Material_UUID],LeitRess_Materialien[WDP '[m³ weighted water/kg']])*Baukon[[#This Row],[Masse '[kg/m²'] Referenz]]</f>
        <v>22.186027049375522</v>
      </c>
      <c r="AQ45" s="37">
        <f>_xlfn.XLOOKUP(Baukon[[#This Row],[LCA Datensatz]],LeitRess_Materialien[Material_UUID],LeitRess_Materialien[WDP '[m³ weighted water/kg']])*Baukon[[#This Row],[Masse '[kg/m²'] min]]</f>
        <v>22.186027049375522</v>
      </c>
      <c r="AR45" s="37">
        <f>_xlfn.XLOOKUP(Baukon[[#This Row],[LCA Datensatz]],LeitRess_Materialien[Material_UUID],LeitRess_Materialien[WDP '[m³ weighted water/kg']])*Baukon[[#This Row],[Masse '[kg/m²'] max]]</f>
        <v>22.186027049375522</v>
      </c>
      <c r="AS45" s="39">
        <f>Baukon[[#This Row],[GWP '[kg CO2-Äqu./m²'] Referenz]]/'Ausgabe Tabellen'!$C$21+Baukon[[#This Row],[PENRT '[MJ/m²'] Referenz]]/'Ausgabe Tabellen'!$C$22+Baukon[[#This Row],[RMI '[kg Primärrohstoffe/m²'] Referenz]]/'Ausgabe Tabellen'!$C$23+Baukon[[#This Row],[WDP '[m² weighted water/m²'] Referenz]]/'Ausgabe Tabellen'!$C$24</f>
        <v>2.1260334404191505E-2</v>
      </c>
      <c r="AT45" s="39">
        <f>Baukon[[#This Row],[GWP '[kg CO2-Äqu./m²'] min]]/'Ausgabe Tabellen'!$C$21+Baukon[[#This Row],[PENRT '[MJ/m²'] min]]/'Ausgabe Tabellen'!$C$22+Baukon[[#This Row],[RMI '[kg Primärrohstoffe/m²'] min]]/'Ausgabe Tabellen'!$C$23+Baukon[[#This Row],[WDP '[m² weighted water/m²'] min]]/'Ausgabe Tabellen'!$C$24</f>
        <v>2.1260334404191505E-2</v>
      </c>
      <c r="AU45" s="39">
        <f>Baukon[[#This Row],[GWP '[kg CO2-Äqu./m²'] max]]/'Ausgabe Tabellen'!$C$21+Baukon[[#This Row],[PENRT '[MJ/m²'] max]]/'Ausgabe Tabellen'!$C$22+Baukon[[#This Row],[RMI '[kg Primärrohstoffe/m²'] max]]/'Ausgabe Tabellen'!$C$23+Baukon[[#This Row],[WDP '[m² weighted water/m²'] max]]/'Ausgabe Tabellen'!$C$24</f>
        <v>2.1260334404191505E-2</v>
      </c>
    </row>
    <row r="46" spans="1:47" s="24" customFormat="1" ht="15.75" x14ac:dyDescent="0.5">
      <c r="A46" s="36" t="s">
        <v>87</v>
      </c>
      <c r="B46" s="36" t="s">
        <v>315</v>
      </c>
      <c r="C46" s="36">
        <v>5</v>
      </c>
      <c r="D46" s="36" t="s">
        <v>10</v>
      </c>
      <c r="E46" s="36" t="str">
        <f>Baukon[[#This Row],[Variante Nummer]]&amp;". "&amp;Baukon[[#This Row],[Name Baukonstruktion]]&amp;" | " &amp;Baukon[[#This Row],[Variante Name]]</f>
        <v>5. Mauerwerk, einschalig - Mauerziegel (gefüllt) | Referenz</v>
      </c>
      <c r="F46" s="36" t="s">
        <v>310</v>
      </c>
      <c r="G46" s="36" t="s">
        <v>252</v>
      </c>
      <c r="H46" s="36" t="s">
        <v>225</v>
      </c>
      <c r="I46" s="41">
        <v>15</v>
      </c>
      <c r="J46" s="36">
        <f>IF(Baukon[[#This Row],[Material ist Dämmstoff?]]="ja",Baukon[[#This Row],[Dicke '[mm'] Referenz]]+_xlfn.XLOOKUP(RIGHT(Baukon[[#Headers],[Dicke '[mm'] min]],3),Dämmstoffvarianten[Variante],Dämmstoffvarianten[Differenz Dämmstoffedicke zu Referenz '[mm']]),Baukon[[#This Row],[Dicke '[mm'] Referenz]])</f>
        <v>15</v>
      </c>
      <c r="K46" s="36">
        <f>IF(Baukon[[#This Row],[Material ist Dämmstoff?]]="ja",Baukon[[#This Row],[Dicke '[mm'] Referenz]]+_xlfn.XLOOKUP(RIGHT(Baukon[[#Headers],[Dicke '[mm'] max]],3),Dämmstoffvarianten[Variante],Dämmstoffvarianten[Differenz Dämmstoffedicke zu Referenz '[mm']]),Baukon[[#This Row],[Dicke '[mm'] Referenz]])</f>
        <v>15</v>
      </c>
      <c r="L46" s="43">
        <v>1</v>
      </c>
      <c r="M46" s="41"/>
      <c r="N46" s="103">
        <f>IFERROR(Baukon[[#This Row],[Dicke '[mm'] Referenz]]/1000*Baukon[[#This Row],[Flächenanteil '[%']]],"")</f>
        <v>1.4999999999999999E-2</v>
      </c>
      <c r="O46" s="103">
        <f>IFERROR(Baukon[[#This Row],[Dicke '[mm'] min]]/1000*Baukon[[#This Row],[Flächenanteil '[%']]],"")</f>
        <v>1.4999999999999999E-2</v>
      </c>
      <c r="P46" s="103">
        <f>IFERROR(Baukon[[#This Row],[Dicke '[mm'] max]]/1000*Baukon[[#This Row],[Flächenanteil '[%']]],"")</f>
        <v>1.4999999999999999E-2</v>
      </c>
      <c r="Q46"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15.75</v>
      </c>
      <c r="R46"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15.75</v>
      </c>
      <c r="S46"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15.75</v>
      </c>
      <c r="T46" s="42" t="s">
        <v>400</v>
      </c>
      <c r="U46" s="103" t="str">
        <f>_xlfn.XLOOKUP(Baukon[[#This Row],[Material]],LeitRess_Materialien[Name],LeitRess_Materialien[Material_UUID])</f>
        <v>07f3cd13-22bb-494d-803a-f0a440fbce7a</v>
      </c>
      <c r="V46" s="42">
        <f>_xlfn.XLOOKUP(Baukon[[#This Row],[LCA Datensatz]],LeitRess_Materialien[Material_UUID],LeitRess_Materialien[Rohdichte_'[kg/m3']])</f>
        <v>1050</v>
      </c>
      <c r="W46" s="42">
        <f>_xlfn.XLOOKUP(Baukon[[#This Row],[LCA Datensatz]],LeitRess_Materialien[Material_UUID],LeitRess_Materialien[Flächengewicht_'[kg/m2']])</f>
        <v>0</v>
      </c>
      <c r="X46" s="104">
        <f>_xlfn.XLOOKUP(Baukon[[#This Row],[LCA Datensatz]],LeitRess_Materialien[Material_UUID],LeitRess_Materialien[Längengewicht_'[kg/m']])</f>
        <v>0</v>
      </c>
      <c r="Y46" s="104">
        <f>_xlfn.XLOOKUP(Baukon[[#This Row],[LCA Datensatz]],LeitRess_Materialien[Material_UUID],LeitRess_Materialien[lambda_'[W/mK']])</f>
        <v>1</v>
      </c>
      <c r="Z46" s="103">
        <f>IFERROR(Baukon[[#This Row],[Dicke '[mm'] Referenz]]/Baukon[[#This Row],[lambda_'[W/mK']]],"")</f>
        <v>15</v>
      </c>
      <c r="AA46" s="37">
        <f>_xlfn.XLOOKUP(Baukon[[#This Row],[LCA Datensatz]],LeitRess_Materialien[Material_UUID],LeitRess_Materialien[RMI '[kg Primärrohstoffe / kg']])*Baukon[[#This Row],[Masse '[kg/m²'] Referenz]]</f>
        <v>19.102641975961582</v>
      </c>
      <c r="AB46" s="37">
        <f>_xlfn.XLOOKUP(Baukon[[#This Row],[LCA Datensatz]],LeitRess_Materialien[Material_UUID],LeitRess_Materialien[RMI '[kg Primärrohstoffe / kg']])*Baukon[[#This Row],[Masse '[kg/m²'] min]]</f>
        <v>19.102641975961582</v>
      </c>
      <c r="AC46" s="37">
        <f>_xlfn.XLOOKUP(Baukon[[#This Row],[LCA Datensatz]],LeitRess_Materialien[Material_UUID],LeitRess_Materialien[RMI '[kg Primärrohstoffe / kg']])*Baukon[[#This Row],[Masse '[kg/m²'] max]]</f>
        <v>19.102641975961582</v>
      </c>
      <c r="AD46" s="37">
        <f>_xlfn.XLOOKUP(Baukon[[#This Row],[LCA Datensatz]],LeitRess_Materialien[Material_UUID],LeitRess_Materialien[TMR '[kg Gesamtmaterialaufwand/kg']])*Baukon[[#This Row],[Masse '[kg/m²'] Referenz]]</f>
        <v>19.894952377912816</v>
      </c>
      <c r="AE46" s="37">
        <f>_xlfn.XLOOKUP(Baukon[[#This Row],[LCA Datensatz]],LeitRess_Materialien[Material_UUID],LeitRess_Materialien[TMR '[kg Gesamtmaterialaufwand/kg']])*Baukon[[#This Row],[Masse '[kg/m²'] min]]</f>
        <v>19.894952377912816</v>
      </c>
      <c r="AF46" s="37">
        <f>_xlfn.XLOOKUP(Baukon[[#This Row],[LCA Datensatz]],LeitRess_Materialien[Material_UUID],LeitRess_Materialien[TMR '[kg Gesamtmaterialaufwand/kg']])*Baukon[[#This Row],[Masse '[kg/m²'] max]]</f>
        <v>19.894952377912816</v>
      </c>
      <c r="AG46" s="37">
        <f>_xlfn.XLOOKUP(Baukon[[#This Row],[LCA Datensatz]],LeitRess_Materialien[Material_UUID],LeitRess_Materialien[GWP '[kg CO2-Äqu./kg']])*Baukon[[#This Row],[Masse '[kg/m²'] Referenz]]</f>
        <v>1.8596920563101473</v>
      </c>
      <c r="AH46" s="37">
        <f>_xlfn.XLOOKUP(Baukon[[#This Row],[LCA Datensatz]],LeitRess_Materialien[Material_UUID],LeitRess_Materialien[GWP '[kg CO2-Äqu./kg']])*Baukon[[#This Row],[Masse '[kg/m²'] min]]</f>
        <v>1.8596920563101473</v>
      </c>
      <c r="AI46" s="37">
        <f>_xlfn.XLOOKUP(Baukon[[#This Row],[LCA Datensatz]],LeitRess_Materialien[Material_UUID],LeitRess_Materialien[GWP '[kg CO2-Äqu./kg']])*Baukon[[#This Row],[Masse '[kg/m²'] max]]</f>
        <v>1.8596920563101473</v>
      </c>
      <c r="AJ46" s="37">
        <f>_xlfn.XLOOKUP(Baukon[[#This Row],[LCA Datensatz]],LeitRess_Materialien[Material_UUID],LeitRess_Materialien[PENRT '[MJ/kg']])*Baukon[[#This Row],[Masse '[kg/m²'] Referenz]]</f>
        <v>26.945451563913227</v>
      </c>
      <c r="AK46" s="37">
        <f>_xlfn.XLOOKUP(Baukon[[#This Row],[LCA Datensatz]],LeitRess_Materialien[Material_UUID],LeitRess_Materialien[PENRT '[MJ/kg']])*Baukon[[#This Row],[Masse '[kg/m²'] min]]</f>
        <v>26.945451563913227</v>
      </c>
      <c r="AL46" s="37">
        <f>_xlfn.XLOOKUP(Baukon[[#This Row],[LCA Datensatz]],LeitRess_Materialien[Material_UUID],LeitRess_Materialien[PENRT '[MJ/kg']])*Baukon[[#This Row],[Masse '[kg/m²'] max]]</f>
        <v>26.945451563913227</v>
      </c>
      <c r="AM46" s="37" t="e">
        <f>_xlfn.XLOOKUP(Baukon[[#This Row],[LCA Datensatz]],LeitRess_Materialien[Material_UUID],#REF!)*Baukon[[#This Row],[Masse '[kg/m²'] Referenz]]</f>
        <v>#REF!</v>
      </c>
      <c r="AN46" s="37" t="e">
        <f>_xlfn.XLOOKUP(Baukon[[#This Row],[LCA Datensatz]],LeitRess_Materialien[Material_UUID],#REF!)*Baukon[[#This Row],[Masse '[kg/m²'] min]]</f>
        <v>#REF!</v>
      </c>
      <c r="AO46" s="37" t="e">
        <f>_xlfn.XLOOKUP(Baukon[[#This Row],[LCA Datensatz]],LeitRess_Materialien[Material_UUID],#REF!)*Baukon[[#This Row],[Masse '[kg/m²'] max]]</f>
        <v>#REF!</v>
      </c>
      <c r="AP46" s="37">
        <f>_xlfn.XLOOKUP(Baukon[[#This Row],[LCA Datensatz]],LeitRess_Materialien[Material_UUID],LeitRess_Materialien[WDP '[m³ weighted water/kg']])*Baukon[[#This Row],[Masse '[kg/m²'] Referenz]]</f>
        <v>1.9586296940800589</v>
      </c>
      <c r="AQ46" s="37">
        <f>_xlfn.XLOOKUP(Baukon[[#This Row],[LCA Datensatz]],LeitRess_Materialien[Material_UUID],LeitRess_Materialien[WDP '[m³ weighted water/kg']])*Baukon[[#This Row],[Masse '[kg/m²'] min]]</f>
        <v>1.9586296940800589</v>
      </c>
      <c r="AR46" s="37">
        <f>_xlfn.XLOOKUP(Baukon[[#This Row],[LCA Datensatz]],LeitRess_Materialien[Material_UUID],LeitRess_Materialien[WDP '[m³ weighted water/kg']])*Baukon[[#This Row],[Masse '[kg/m²'] max]]</f>
        <v>1.9586296940800589</v>
      </c>
      <c r="AS46" s="39">
        <f>Baukon[[#This Row],[GWP '[kg CO2-Äqu./m²'] Referenz]]/'Ausgabe Tabellen'!$C$21+Baukon[[#This Row],[PENRT '[MJ/m²'] Referenz]]/'Ausgabe Tabellen'!$C$22+Baukon[[#This Row],[RMI '[kg Primärrohstoffe/m²'] Referenz]]/'Ausgabe Tabellen'!$C$23+Baukon[[#This Row],[WDP '[m² weighted water/m²'] Referenz]]/'Ausgabe Tabellen'!$C$24</f>
        <v>1.0580831622736952E-3</v>
      </c>
      <c r="AT46" s="39">
        <f>Baukon[[#This Row],[GWP '[kg CO2-Äqu./m²'] min]]/'Ausgabe Tabellen'!$C$21+Baukon[[#This Row],[PENRT '[MJ/m²'] min]]/'Ausgabe Tabellen'!$C$22+Baukon[[#This Row],[RMI '[kg Primärrohstoffe/m²'] min]]/'Ausgabe Tabellen'!$C$23+Baukon[[#This Row],[WDP '[m² weighted water/m²'] min]]/'Ausgabe Tabellen'!$C$24</f>
        <v>1.0580831622736952E-3</v>
      </c>
      <c r="AU46" s="39">
        <f>Baukon[[#This Row],[GWP '[kg CO2-Äqu./m²'] max]]/'Ausgabe Tabellen'!$C$21+Baukon[[#This Row],[PENRT '[MJ/m²'] max]]/'Ausgabe Tabellen'!$C$22+Baukon[[#This Row],[RMI '[kg Primärrohstoffe/m²'] max]]/'Ausgabe Tabellen'!$C$23+Baukon[[#This Row],[WDP '[m² weighted water/m²'] max]]/'Ausgabe Tabellen'!$C$24</f>
        <v>1.0580831622736952E-3</v>
      </c>
    </row>
    <row r="47" spans="1:47" s="24" customFormat="1" ht="15.75" x14ac:dyDescent="0.5">
      <c r="A47" s="36" t="s">
        <v>87</v>
      </c>
      <c r="B47" s="36" t="s">
        <v>315</v>
      </c>
      <c r="C47" s="36">
        <v>5</v>
      </c>
      <c r="D47" s="36" t="s">
        <v>10</v>
      </c>
      <c r="E47" s="36" t="str">
        <f>Baukon[[#This Row],[Variante Nummer]]&amp;". "&amp;Baukon[[#This Row],[Name Baukonstruktion]]&amp;" | " &amp;Baukon[[#This Row],[Variante Name]]</f>
        <v>5. Mauerwerk, einschalig - Mauerziegel (gefüllt) | Referenz</v>
      </c>
      <c r="F47" s="36" t="s">
        <v>265</v>
      </c>
      <c r="G47" s="36" t="s">
        <v>265</v>
      </c>
      <c r="H47" s="36" t="s">
        <v>225</v>
      </c>
      <c r="I47" s="41">
        <v>365</v>
      </c>
      <c r="J47" s="36">
        <f>IF(Baukon[[#This Row],[Material ist Dämmstoff?]]="ja",Baukon[[#This Row],[Dicke '[mm'] Referenz]]+_xlfn.XLOOKUP(RIGHT(Baukon[[#Headers],[Dicke '[mm'] min]],3),Dämmstoffvarianten[Variante],Dämmstoffvarianten[Differenz Dämmstoffedicke zu Referenz '[mm']]),Baukon[[#This Row],[Dicke '[mm'] Referenz]])</f>
        <v>365</v>
      </c>
      <c r="K47" s="36">
        <f>IF(Baukon[[#This Row],[Material ist Dämmstoff?]]="ja",Baukon[[#This Row],[Dicke '[mm'] Referenz]]+_xlfn.XLOOKUP(RIGHT(Baukon[[#Headers],[Dicke '[mm'] max]],3),Dämmstoffvarianten[Variante],Dämmstoffvarianten[Differenz Dämmstoffedicke zu Referenz '[mm']]),Baukon[[#This Row],[Dicke '[mm'] Referenz]])</f>
        <v>365</v>
      </c>
      <c r="L47" s="43">
        <v>1</v>
      </c>
      <c r="M47" s="41"/>
      <c r="N47" s="103">
        <f>IFERROR(Baukon[[#This Row],[Dicke '[mm'] Referenz]]/1000*Baukon[[#This Row],[Flächenanteil '[%']]],"")</f>
        <v>0.36499999999999999</v>
      </c>
      <c r="O47" s="103">
        <f>IFERROR(Baukon[[#This Row],[Dicke '[mm'] min]]/1000*Baukon[[#This Row],[Flächenanteil '[%']]],"")</f>
        <v>0.36499999999999999</v>
      </c>
      <c r="P47" s="103">
        <f>IFERROR(Baukon[[#This Row],[Dicke '[mm'] max]]/1000*Baukon[[#This Row],[Flächenanteil '[%']]],"")</f>
        <v>0.36499999999999999</v>
      </c>
      <c r="Q47"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220.82499999999999</v>
      </c>
      <c r="R47"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220.82499999999999</v>
      </c>
      <c r="S47"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220.82499999999999</v>
      </c>
      <c r="T47" s="42" t="s">
        <v>401</v>
      </c>
      <c r="U47" s="103" t="str">
        <f>_xlfn.XLOOKUP(Baukon[[#This Row],[Material]],LeitRess_Materialien[Name],LeitRess_Materialien[Material_UUID])</f>
        <v>5576bbd6-2ccf-4e79-aa8c-441e7aa428ee</v>
      </c>
      <c r="V47" s="42">
        <f>_xlfn.XLOOKUP(Baukon[[#This Row],[LCA Datensatz]],LeitRess_Materialien[Material_UUID],LeitRess_Materialien[Rohdichte_'[kg/m3']])</f>
        <v>605</v>
      </c>
      <c r="W47" s="42">
        <f>_xlfn.XLOOKUP(Baukon[[#This Row],[LCA Datensatz]],LeitRess_Materialien[Material_UUID],LeitRess_Materialien[Flächengewicht_'[kg/m2']])</f>
        <v>0</v>
      </c>
      <c r="X47" s="104">
        <f>_xlfn.XLOOKUP(Baukon[[#This Row],[LCA Datensatz]],LeitRess_Materialien[Material_UUID],LeitRess_Materialien[Längengewicht_'[kg/m']])</f>
        <v>0</v>
      </c>
      <c r="Y47" s="104">
        <f>_xlfn.XLOOKUP(Baukon[[#This Row],[LCA Datensatz]],LeitRess_Materialien[Material_UUID],LeitRess_Materialien[lambda_'[W/mK']])</f>
        <v>1.1000000000000001</v>
      </c>
      <c r="Z47" s="103">
        <f>IFERROR(Baukon[[#This Row],[Dicke '[mm'] Referenz]]/Baukon[[#This Row],[lambda_'[W/mK']]],"")</f>
        <v>331.81818181818181</v>
      </c>
      <c r="AA47" s="37">
        <f>_xlfn.XLOOKUP(Baukon[[#This Row],[LCA Datensatz]],LeitRess_Materialien[Material_UUID],LeitRess_Materialien[RMI '[kg Primärrohstoffe / kg']])*Baukon[[#This Row],[Masse '[kg/m²'] Referenz]]</f>
        <v>374.41081162336127</v>
      </c>
      <c r="AB47" s="37">
        <f>_xlfn.XLOOKUP(Baukon[[#This Row],[LCA Datensatz]],LeitRess_Materialien[Material_UUID],LeitRess_Materialien[RMI '[kg Primärrohstoffe / kg']])*Baukon[[#This Row],[Masse '[kg/m²'] min]]</f>
        <v>374.41081162336127</v>
      </c>
      <c r="AC47" s="37">
        <f>_xlfn.XLOOKUP(Baukon[[#This Row],[LCA Datensatz]],LeitRess_Materialien[Material_UUID],LeitRess_Materialien[RMI '[kg Primärrohstoffe / kg']])*Baukon[[#This Row],[Masse '[kg/m²'] max]]</f>
        <v>374.41081162336127</v>
      </c>
      <c r="AD47" s="37">
        <f>_xlfn.XLOOKUP(Baukon[[#This Row],[LCA Datensatz]],LeitRess_Materialien[Material_UUID],LeitRess_Materialien[TMR '[kg Gesamtmaterialaufwand/kg']])*Baukon[[#This Row],[Masse '[kg/m²'] Referenz]]</f>
        <v>748.80349573453191</v>
      </c>
      <c r="AE47" s="37">
        <f>_xlfn.XLOOKUP(Baukon[[#This Row],[LCA Datensatz]],LeitRess_Materialien[Material_UUID],LeitRess_Materialien[TMR '[kg Gesamtmaterialaufwand/kg']])*Baukon[[#This Row],[Masse '[kg/m²'] min]]</f>
        <v>748.80349573453191</v>
      </c>
      <c r="AF47" s="37">
        <f>_xlfn.XLOOKUP(Baukon[[#This Row],[LCA Datensatz]],LeitRess_Materialien[Material_UUID],LeitRess_Materialien[TMR '[kg Gesamtmaterialaufwand/kg']])*Baukon[[#This Row],[Masse '[kg/m²'] max]]</f>
        <v>748.80349573453191</v>
      </c>
      <c r="AG47" s="37">
        <f>_xlfn.XLOOKUP(Baukon[[#This Row],[LCA Datensatz]],LeitRess_Materialien[Material_UUID],LeitRess_Materialien[GWP '[kg CO2-Äqu./kg']])*Baukon[[#This Row],[Masse '[kg/m²'] Referenz]]</f>
        <v>99.187706810579286</v>
      </c>
      <c r="AH47" s="37">
        <f>_xlfn.XLOOKUP(Baukon[[#This Row],[LCA Datensatz]],LeitRess_Materialien[Material_UUID],LeitRess_Materialien[GWP '[kg CO2-Äqu./kg']])*Baukon[[#This Row],[Masse '[kg/m²'] min]]</f>
        <v>99.187706810579286</v>
      </c>
      <c r="AI47" s="37">
        <f>_xlfn.XLOOKUP(Baukon[[#This Row],[LCA Datensatz]],LeitRess_Materialien[Material_UUID],LeitRess_Materialien[GWP '[kg CO2-Äqu./kg']])*Baukon[[#This Row],[Masse '[kg/m²'] max]]</f>
        <v>99.187706810579286</v>
      </c>
      <c r="AJ47" s="37">
        <f>_xlfn.XLOOKUP(Baukon[[#This Row],[LCA Datensatz]],LeitRess_Materialien[Material_UUID],LeitRess_Materialien[PENRT '[MJ/kg']])*Baukon[[#This Row],[Masse '[kg/m²'] Referenz]]</f>
        <v>1332.1204698276194</v>
      </c>
      <c r="AK47" s="37">
        <f>_xlfn.XLOOKUP(Baukon[[#This Row],[LCA Datensatz]],LeitRess_Materialien[Material_UUID],LeitRess_Materialien[PENRT '[MJ/kg']])*Baukon[[#This Row],[Masse '[kg/m²'] min]]</f>
        <v>1332.1204698276194</v>
      </c>
      <c r="AL47" s="37">
        <f>_xlfn.XLOOKUP(Baukon[[#This Row],[LCA Datensatz]],LeitRess_Materialien[Material_UUID],LeitRess_Materialien[PENRT '[MJ/kg']])*Baukon[[#This Row],[Masse '[kg/m²'] max]]</f>
        <v>1332.1204698276194</v>
      </c>
      <c r="AM47" s="37" t="e">
        <f>_xlfn.XLOOKUP(Baukon[[#This Row],[LCA Datensatz]],LeitRess_Materialien[Material_UUID],#REF!)*Baukon[[#This Row],[Masse '[kg/m²'] Referenz]]</f>
        <v>#REF!</v>
      </c>
      <c r="AN47" s="37" t="e">
        <f>_xlfn.XLOOKUP(Baukon[[#This Row],[LCA Datensatz]],LeitRess_Materialien[Material_UUID],#REF!)*Baukon[[#This Row],[Masse '[kg/m²'] min]]</f>
        <v>#REF!</v>
      </c>
      <c r="AO47" s="37" t="e">
        <f>_xlfn.XLOOKUP(Baukon[[#This Row],[LCA Datensatz]],LeitRess_Materialien[Material_UUID],#REF!)*Baukon[[#This Row],[Masse '[kg/m²'] max]]</f>
        <v>#REF!</v>
      </c>
      <c r="AP47" s="37">
        <f>_xlfn.XLOOKUP(Baukon[[#This Row],[LCA Datensatz]],LeitRess_Materialien[Material_UUID],LeitRess_Materialien[WDP '[m³ weighted water/kg']])*Baukon[[#This Row],[Masse '[kg/m²'] Referenz]]</f>
        <v>21.286056114057093</v>
      </c>
      <c r="AQ47" s="37">
        <f>_xlfn.XLOOKUP(Baukon[[#This Row],[LCA Datensatz]],LeitRess_Materialien[Material_UUID],LeitRess_Materialien[WDP '[m³ weighted water/kg']])*Baukon[[#This Row],[Masse '[kg/m²'] min]]</f>
        <v>21.286056114057093</v>
      </c>
      <c r="AR47" s="37">
        <f>_xlfn.XLOOKUP(Baukon[[#This Row],[LCA Datensatz]],LeitRess_Materialien[Material_UUID],LeitRess_Materialien[WDP '[m³ weighted water/kg']])*Baukon[[#This Row],[Masse '[kg/m²'] max]]</f>
        <v>21.286056114057093</v>
      </c>
      <c r="AS47" s="39">
        <f>Baukon[[#This Row],[GWP '[kg CO2-Äqu./m²'] Referenz]]/'Ausgabe Tabellen'!$C$21+Baukon[[#This Row],[PENRT '[MJ/m²'] Referenz]]/'Ausgabe Tabellen'!$C$22+Baukon[[#This Row],[RMI '[kg Primärrohstoffe/m²'] Referenz]]/'Ausgabe Tabellen'!$C$23+Baukon[[#This Row],[WDP '[m² weighted water/m²'] Referenz]]/'Ausgabe Tabellen'!$C$24</f>
        <v>3.0666971022193207E-2</v>
      </c>
      <c r="AT47" s="39">
        <f>Baukon[[#This Row],[GWP '[kg CO2-Äqu./m²'] min]]/'Ausgabe Tabellen'!$C$21+Baukon[[#This Row],[PENRT '[MJ/m²'] min]]/'Ausgabe Tabellen'!$C$22+Baukon[[#This Row],[RMI '[kg Primärrohstoffe/m²'] min]]/'Ausgabe Tabellen'!$C$23+Baukon[[#This Row],[WDP '[m² weighted water/m²'] min]]/'Ausgabe Tabellen'!$C$24</f>
        <v>3.0666971022193207E-2</v>
      </c>
      <c r="AU47" s="39">
        <f>Baukon[[#This Row],[GWP '[kg CO2-Äqu./m²'] max]]/'Ausgabe Tabellen'!$C$21+Baukon[[#This Row],[PENRT '[MJ/m²'] max]]/'Ausgabe Tabellen'!$C$22+Baukon[[#This Row],[RMI '[kg Primärrohstoffe/m²'] max]]/'Ausgabe Tabellen'!$C$23+Baukon[[#This Row],[WDP '[m² weighted water/m²'] max]]/'Ausgabe Tabellen'!$C$24</f>
        <v>3.0666971022193207E-2</v>
      </c>
    </row>
    <row r="48" spans="1:47" s="24" customFormat="1" ht="15.75" x14ac:dyDescent="0.5">
      <c r="A48" s="36" t="s">
        <v>87</v>
      </c>
      <c r="B48" s="36" t="s">
        <v>316</v>
      </c>
      <c r="C48" s="36">
        <v>6</v>
      </c>
      <c r="D48" s="36" t="s">
        <v>312</v>
      </c>
      <c r="E48" s="36" t="str">
        <f>Baukon[[#This Row],[Variante Nummer]]&amp;". "&amp;Baukon[[#This Row],[Name Baukonstruktion]]&amp;" | " &amp;Baukon[[#This Row],[Variante Name]]</f>
        <v>6. Mauerwerk, zweischalig - Vollziegel (VZ) | Referenz MiWo</v>
      </c>
      <c r="F48" s="36" t="s">
        <v>331</v>
      </c>
      <c r="G48" s="36" t="s">
        <v>227</v>
      </c>
      <c r="H48" s="36" t="s">
        <v>228</v>
      </c>
      <c r="I48" s="41">
        <v>120</v>
      </c>
      <c r="J48" s="36">
        <f>IF(Baukon[[#This Row],[Material ist Dämmstoff?]]="ja",Baukon[[#This Row],[Dicke '[mm'] Referenz]]+_xlfn.XLOOKUP(RIGHT(Baukon[[#Headers],[Dicke '[mm'] min]],3),Dämmstoffvarianten[Variante],Dämmstoffvarianten[Differenz Dämmstoffedicke zu Referenz '[mm']]),Baukon[[#This Row],[Dicke '[mm'] Referenz]])</f>
        <v>80</v>
      </c>
      <c r="K48" s="36">
        <f>IF(Baukon[[#This Row],[Material ist Dämmstoff?]]="ja",Baukon[[#This Row],[Dicke '[mm'] Referenz]]+_xlfn.XLOOKUP(RIGHT(Baukon[[#Headers],[Dicke '[mm'] max]],3),Dämmstoffvarianten[Variante],Dämmstoffvarianten[Differenz Dämmstoffedicke zu Referenz '[mm']]),Baukon[[#This Row],[Dicke '[mm'] Referenz]])</f>
        <v>200</v>
      </c>
      <c r="L48" s="43">
        <v>1</v>
      </c>
      <c r="M48" s="41"/>
      <c r="N48" s="103">
        <f>IFERROR(Baukon[[#This Row],[Dicke '[mm'] Referenz]]/1000*Baukon[[#This Row],[Flächenanteil '[%']]],"")</f>
        <v>0.12</v>
      </c>
      <c r="O48" s="103">
        <f>IFERROR(Baukon[[#This Row],[Dicke '[mm'] min]]/1000*Baukon[[#This Row],[Flächenanteil '[%']]],"")</f>
        <v>0.08</v>
      </c>
      <c r="P48" s="103">
        <f>IFERROR(Baukon[[#This Row],[Dicke '[mm'] max]]/1000*Baukon[[#This Row],[Flächenanteil '[%']]],"")</f>
        <v>0.2</v>
      </c>
      <c r="Q48"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5.55</v>
      </c>
      <c r="R48"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3.7</v>
      </c>
      <c r="S48"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9.25</v>
      </c>
      <c r="T48" s="42" t="s">
        <v>227</v>
      </c>
      <c r="U48" s="103" t="str">
        <f>_xlfn.XLOOKUP(Baukon[[#This Row],[Material]],LeitRess_Materialien[Name],LeitRess_Materialien[Material_UUID])</f>
        <v>f8afef87-5de3-4996-838c-1f2af9ef81df</v>
      </c>
      <c r="V48" s="42">
        <f>_xlfn.XLOOKUP(Baukon[[#This Row],[LCA Datensatz]],LeitRess_Materialien[Material_UUID],LeitRess_Materialien[Rohdichte_'[kg/m3']])</f>
        <v>46.25</v>
      </c>
      <c r="W48" s="42">
        <f>_xlfn.XLOOKUP(Baukon[[#This Row],[LCA Datensatz]],LeitRess_Materialien[Material_UUID],LeitRess_Materialien[Flächengewicht_'[kg/m2']])</f>
        <v>0</v>
      </c>
      <c r="X48" s="104">
        <f>_xlfn.XLOOKUP(Baukon[[#This Row],[LCA Datensatz]],LeitRess_Materialien[Material_UUID],LeitRess_Materialien[Längengewicht_'[kg/m']])</f>
        <v>0</v>
      </c>
      <c r="Y48" s="104">
        <f>_xlfn.XLOOKUP(Baukon[[#This Row],[LCA Datensatz]],LeitRess_Materialien[Material_UUID],LeitRess_Materialien[lambda_'[W/mK']])</f>
        <v>4.2000000000000003E-2</v>
      </c>
      <c r="Z48" s="103">
        <f>IFERROR(Baukon[[#This Row],[Dicke '[mm'] Referenz]]/Baukon[[#This Row],[lambda_'[W/mK']]],"")</f>
        <v>2857.1428571428569</v>
      </c>
      <c r="AA48" s="37">
        <f>_xlfn.XLOOKUP(Baukon[[#This Row],[LCA Datensatz]],LeitRess_Materialien[Material_UUID],LeitRess_Materialien[RMI '[kg Primärrohstoffe / kg']])*Baukon[[#This Row],[Masse '[kg/m²'] Referenz]]</f>
        <v>10.695183985712411</v>
      </c>
      <c r="AB48" s="37">
        <f>_xlfn.XLOOKUP(Baukon[[#This Row],[LCA Datensatz]],LeitRess_Materialien[Material_UUID],LeitRess_Materialien[RMI '[kg Primärrohstoffe / kg']])*Baukon[[#This Row],[Masse '[kg/m²'] min]]</f>
        <v>7.1301226571416088</v>
      </c>
      <c r="AC48" s="37">
        <f>_xlfn.XLOOKUP(Baukon[[#This Row],[LCA Datensatz]],LeitRess_Materialien[Material_UUID],LeitRess_Materialien[RMI '[kg Primärrohstoffe / kg']])*Baukon[[#This Row],[Masse '[kg/m²'] max]]</f>
        <v>17.82530664285402</v>
      </c>
      <c r="AD48" s="37">
        <f>_xlfn.XLOOKUP(Baukon[[#This Row],[LCA Datensatz]],LeitRess_Materialien[Material_UUID],LeitRess_Materialien[TMR '[kg Gesamtmaterialaufwand/kg']])*Baukon[[#This Row],[Masse '[kg/m²'] Referenz]]</f>
        <v>12.97922231021659</v>
      </c>
      <c r="AE48" s="37">
        <f>_xlfn.XLOOKUP(Baukon[[#This Row],[LCA Datensatz]],LeitRess_Materialien[Material_UUID],LeitRess_Materialien[TMR '[kg Gesamtmaterialaufwand/kg']])*Baukon[[#This Row],[Masse '[kg/m²'] min]]</f>
        <v>8.6528148734777286</v>
      </c>
      <c r="AF48" s="37">
        <f>_xlfn.XLOOKUP(Baukon[[#This Row],[LCA Datensatz]],LeitRess_Materialien[Material_UUID],LeitRess_Materialien[TMR '[kg Gesamtmaterialaufwand/kg']])*Baukon[[#This Row],[Masse '[kg/m²'] max]]</f>
        <v>21.632037183694319</v>
      </c>
      <c r="AG48" s="37">
        <f>_xlfn.XLOOKUP(Baukon[[#This Row],[LCA Datensatz]],LeitRess_Materialien[Material_UUID],LeitRess_Materialien[GWP '[kg CO2-Äqu./kg']])*Baukon[[#This Row],[Masse '[kg/m²'] Referenz]]</f>
        <v>5.4935611125903199</v>
      </c>
      <c r="AH48" s="37">
        <f>_xlfn.XLOOKUP(Baukon[[#This Row],[LCA Datensatz]],LeitRess_Materialien[Material_UUID],LeitRess_Materialien[GWP '[kg CO2-Äqu./kg']])*Baukon[[#This Row],[Masse '[kg/m²'] min]]</f>
        <v>3.6623740750602138</v>
      </c>
      <c r="AI48" s="37">
        <f>_xlfn.XLOOKUP(Baukon[[#This Row],[LCA Datensatz]],LeitRess_Materialien[Material_UUID],LeitRess_Materialien[GWP '[kg CO2-Äqu./kg']])*Baukon[[#This Row],[Masse '[kg/m²'] max]]</f>
        <v>9.1559351876505346</v>
      </c>
      <c r="AJ48" s="37">
        <f>_xlfn.XLOOKUP(Baukon[[#This Row],[LCA Datensatz]],LeitRess_Materialien[Material_UUID],LeitRess_Materialien[PENRT '[MJ/kg']])*Baukon[[#This Row],[Masse '[kg/m²'] Referenz]]</f>
        <v>118.07336116942452</v>
      </c>
      <c r="AK48" s="37">
        <f>_xlfn.XLOOKUP(Baukon[[#This Row],[LCA Datensatz]],LeitRess_Materialien[Material_UUID],LeitRess_Materialien[PENRT '[MJ/kg']])*Baukon[[#This Row],[Masse '[kg/m²'] min]]</f>
        <v>78.715574112949682</v>
      </c>
      <c r="AL48" s="37">
        <f>_xlfn.XLOOKUP(Baukon[[#This Row],[LCA Datensatz]],LeitRess_Materialien[Material_UUID],LeitRess_Materialien[PENRT '[MJ/kg']])*Baukon[[#This Row],[Masse '[kg/m²'] max]]</f>
        <v>196.78893528237421</v>
      </c>
      <c r="AM48" s="37" t="e">
        <f>_xlfn.XLOOKUP(Baukon[[#This Row],[LCA Datensatz]],LeitRess_Materialien[Material_UUID],#REF!)*Baukon[[#This Row],[Masse '[kg/m²'] Referenz]]</f>
        <v>#REF!</v>
      </c>
      <c r="AN48" s="37" t="e">
        <f>_xlfn.XLOOKUP(Baukon[[#This Row],[LCA Datensatz]],LeitRess_Materialien[Material_UUID],#REF!)*Baukon[[#This Row],[Masse '[kg/m²'] min]]</f>
        <v>#REF!</v>
      </c>
      <c r="AO48" s="37" t="e">
        <f>_xlfn.XLOOKUP(Baukon[[#This Row],[LCA Datensatz]],LeitRess_Materialien[Material_UUID],#REF!)*Baukon[[#This Row],[Masse '[kg/m²'] max]]</f>
        <v>#REF!</v>
      </c>
      <c r="AP48" s="37">
        <f>_xlfn.XLOOKUP(Baukon[[#This Row],[LCA Datensatz]],LeitRess_Materialien[Material_UUID],LeitRess_Materialien[WDP '[m³ weighted water/kg']])*Baukon[[#This Row],[Masse '[kg/m²'] Referenz]]</f>
        <v>6.0144984071618559</v>
      </c>
      <c r="AQ48" s="37">
        <f>_xlfn.XLOOKUP(Baukon[[#This Row],[LCA Datensatz]],LeitRess_Materialien[Material_UUID],LeitRess_Materialien[WDP '[m³ weighted water/kg']])*Baukon[[#This Row],[Masse '[kg/m²'] min]]</f>
        <v>4.0096656047745709</v>
      </c>
      <c r="AR48" s="37">
        <f>_xlfn.XLOOKUP(Baukon[[#This Row],[LCA Datensatz]],LeitRess_Materialien[Material_UUID],LeitRess_Materialien[WDP '[m³ weighted water/kg']])*Baukon[[#This Row],[Masse '[kg/m²'] max]]</f>
        <v>10.024164011936426</v>
      </c>
      <c r="AS48" s="39">
        <f>Baukon[[#This Row],[GWP '[kg CO2-Äqu./m²'] Referenz]]/'Ausgabe Tabellen'!$C$21+Baukon[[#This Row],[PENRT '[MJ/m²'] Referenz]]/'Ausgabe Tabellen'!$C$22+Baukon[[#This Row],[RMI '[kg Primärrohstoffe/m²'] Referenz]]/'Ausgabe Tabellen'!$C$23+Baukon[[#This Row],[WDP '[m² weighted water/m²'] Referenz]]/'Ausgabe Tabellen'!$C$24</f>
        <v>2.1674690482342586E-3</v>
      </c>
      <c r="AT48" s="39">
        <f>Baukon[[#This Row],[GWP '[kg CO2-Äqu./m²'] min]]/'Ausgabe Tabellen'!$C$21+Baukon[[#This Row],[PENRT '[MJ/m²'] min]]/'Ausgabe Tabellen'!$C$22+Baukon[[#This Row],[RMI '[kg Primärrohstoffe/m²'] min]]/'Ausgabe Tabellen'!$C$23+Baukon[[#This Row],[WDP '[m² weighted water/m²'] min]]/'Ausgabe Tabellen'!$C$24</f>
        <v>1.4449793654895062E-3</v>
      </c>
      <c r="AU48" s="39">
        <f>Baukon[[#This Row],[GWP '[kg CO2-Äqu./m²'] max]]/'Ausgabe Tabellen'!$C$21+Baukon[[#This Row],[PENRT '[MJ/m²'] max]]/'Ausgabe Tabellen'!$C$22+Baukon[[#This Row],[RMI '[kg Primärrohstoffe/m²'] max]]/'Ausgabe Tabellen'!$C$23+Baukon[[#This Row],[WDP '[m² weighted water/m²'] max]]/'Ausgabe Tabellen'!$C$24</f>
        <v>3.6124484137237648E-3</v>
      </c>
    </row>
    <row r="49" spans="1:47" s="24" customFormat="1" ht="15.75" x14ac:dyDescent="0.5">
      <c r="A49" s="36" t="s">
        <v>87</v>
      </c>
      <c r="B49" s="36" t="s">
        <v>316</v>
      </c>
      <c r="C49" s="36">
        <v>6</v>
      </c>
      <c r="D49" s="36" t="s">
        <v>312</v>
      </c>
      <c r="E49" s="36" t="str">
        <f>Baukon[[#This Row],[Variante Nummer]]&amp;". "&amp;Baukon[[#This Row],[Name Baukonstruktion]]&amp;" | " &amp;Baukon[[#This Row],[Variante Name]]</f>
        <v>6. Mauerwerk, zweischalig - Vollziegel (VZ) | Referenz MiWo</v>
      </c>
      <c r="F49" s="36" t="s">
        <v>310</v>
      </c>
      <c r="G49" s="36" t="s">
        <v>252</v>
      </c>
      <c r="H49" s="36" t="s">
        <v>225</v>
      </c>
      <c r="I49" s="41">
        <v>15</v>
      </c>
      <c r="J49" s="36">
        <f>IF(Baukon[[#This Row],[Material ist Dämmstoff?]]="ja",Baukon[[#This Row],[Dicke '[mm'] Referenz]]+_xlfn.XLOOKUP(RIGHT(Baukon[[#Headers],[Dicke '[mm'] min]],3),Dämmstoffvarianten[Variante],Dämmstoffvarianten[Differenz Dämmstoffedicke zu Referenz '[mm']]),Baukon[[#This Row],[Dicke '[mm'] Referenz]])</f>
        <v>15</v>
      </c>
      <c r="K49" s="36">
        <f>IF(Baukon[[#This Row],[Material ist Dämmstoff?]]="ja",Baukon[[#This Row],[Dicke '[mm'] Referenz]]+_xlfn.XLOOKUP(RIGHT(Baukon[[#Headers],[Dicke '[mm'] max]],3),Dämmstoffvarianten[Variante],Dämmstoffvarianten[Differenz Dämmstoffedicke zu Referenz '[mm']]),Baukon[[#This Row],[Dicke '[mm'] Referenz]])</f>
        <v>15</v>
      </c>
      <c r="L49" s="43">
        <v>1</v>
      </c>
      <c r="M49" s="41"/>
      <c r="N49" s="103">
        <f>IFERROR(Baukon[[#This Row],[Dicke '[mm'] Referenz]]/1000*Baukon[[#This Row],[Flächenanteil '[%']]],"")</f>
        <v>1.4999999999999999E-2</v>
      </c>
      <c r="O49" s="103">
        <f>IFERROR(Baukon[[#This Row],[Dicke '[mm'] min]]/1000*Baukon[[#This Row],[Flächenanteil '[%']]],"")</f>
        <v>1.4999999999999999E-2</v>
      </c>
      <c r="P49" s="103">
        <f>IFERROR(Baukon[[#This Row],[Dicke '[mm'] max]]/1000*Baukon[[#This Row],[Flächenanteil '[%']]],"")</f>
        <v>1.4999999999999999E-2</v>
      </c>
      <c r="Q49"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15.75</v>
      </c>
      <c r="R49"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15.75</v>
      </c>
      <c r="S49"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15.75</v>
      </c>
      <c r="T49" s="42" t="s">
        <v>252</v>
      </c>
      <c r="U49" s="103" t="str">
        <f>_xlfn.XLOOKUP(Baukon[[#This Row],[Material]],LeitRess_Materialien[Name],LeitRess_Materialien[Material_UUID])</f>
        <v>07f3cd13-22bb-494d-803a-f0a440fbce7a</v>
      </c>
      <c r="V49" s="42">
        <f>_xlfn.XLOOKUP(Baukon[[#This Row],[LCA Datensatz]],LeitRess_Materialien[Material_UUID],LeitRess_Materialien[Rohdichte_'[kg/m3']])</f>
        <v>1050</v>
      </c>
      <c r="W49" s="42">
        <f>_xlfn.XLOOKUP(Baukon[[#This Row],[LCA Datensatz]],LeitRess_Materialien[Material_UUID],LeitRess_Materialien[Flächengewicht_'[kg/m2']])</f>
        <v>0</v>
      </c>
      <c r="X49" s="104">
        <f>_xlfn.XLOOKUP(Baukon[[#This Row],[LCA Datensatz]],LeitRess_Materialien[Material_UUID],LeitRess_Materialien[Längengewicht_'[kg/m']])</f>
        <v>0</v>
      </c>
      <c r="Y49" s="104">
        <f>_xlfn.XLOOKUP(Baukon[[#This Row],[LCA Datensatz]],LeitRess_Materialien[Material_UUID],LeitRess_Materialien[lambda_'[W/mK']])</f>
        <v>1</v>
      </c>
      <c r="Z49" s="103">
        <f>IFERROR(Baukon[[#This Row],[Dicke '[mm'] Referenz]]/Baukon[[#This Row],[lambda_'[W/mK']]],"")</f>
        <v>15</v>
      </c>
      <c r="AA49" s="37">
        <f>_xlfn.XLOOKUP(Baukon[[#This Row],[LCA Datensatz]],LeitRess_Materialien[Material_UUID],LeitRess_Materialien[RMI '[kg Primärrohstoffe / kg']])*Baukon[[#This Row],[Masse '[kg/m²'] Referenz]]</f>
        <v>19.102641975961582</v>
      </c>
      <c r="AB49" s="37">
        <f>_xlfn.XLOOKUP(Baukon[[#This Row],[LCA Datensatz]],LeitRess_Materialien[Material_UUID],LeitRess_Materialien[RMI '[kg Primärrohstoffe / kg']])*Baukon[[#This Row],[Masse '[kg/m²'] min]]</f>
        <v>19.102641975961582</v>
      </c>
      <c r="AC49" s="37">
        <f>_xlfn.XLOOKUP(Baukon[[#This Row],[LCA Datensatz]],LeitRess_Materialien[Material_UUID],LeitRess_Materialien[RMI '[kg Primärrohstoffe / kg']])*Baukon[[#This Row],[Masse '[kg/m²'] max]]</f>
        <v>19.102641975961582</v>
      </c>
      <c r="AD49" s="37">
        <f>_xlfn.XLOOKUP(Baukon[[#This Row],[LCA Datensatz]],LeitRess_Materialien[Material_UUID],LeitRess_Materialien[TMR '[kg Gesamtmaterialaufwand/kg']])*Baukon[[#This Row],[Masse '[kg/m²'] Referenz]]</f>
        <v>19.894952377912816</v>
      </c>
      <c r="AE49" s="37">
        <f>_xlfn.XLOOKUP(Baukon[[#This Row],[LCA Datensatz]],LeitRess_Materialien[Material_UUID],LeitRess_Materialien[TMR '[kg Gesamtmaterialaufwand/kg']])*Baukon[[#This Row],[Masse '[kg/m²'] min]]</f>
        <v>19.894952377912816</v>
      </c>
      <c r="AF49" s="37">
        <f>_xlfn.XLOOKUP(Baukon[[#This Row],[LCA Datensatz]],LeitRess_Materialien[Material_UUID],LeitRess_Materialien[TMR '[kg Gesamtmaterialaufwand/kg']])*Baukon[[#This Row],[Masse '[kg/m²'] max]]</f>
        <v>19.894952377912816</v>
      </c>
      <c r="AG49" s="37">
        <f>_xlfn.XLOOKUP(Baukon[[#This Row],[LCA Datensatz]],LeitRess_Materialien[Material_UUID],LeitRess_Materialien[GWP '[kg CO2-Äqu./kg']])*Baukon[[#This Row],[Masse '[kg/m²'] Referenz]]</f>
        <v>1.8596920563101473</v>
      </c>
      <c r="AH49" s="37">
        <f>_xlfn.XLOOKUP(Baukon[[#This Row],[LCA Datensatz]],LeitRess_Materialien[Material_UUID],LeitRess_Materialien[GWP '[kg CO2-Äqu./kg']])*Baukon[[#This Row],[Masse '[kg/m²'] min]]</f>
        <v>1.8596920563101473</v>
      </c>
      <c r="AI49" s="37">
        <f>_xlfn.XLOOKUP(Baukon[[#This Row],[LCA Datensatz]],LeitRess_Materialien[Material_UUID],LeitRess_Materialien[GWP '[kg CO2-Äqu./kg']])*Baukon[[#This Row],[Masse '[kg/m²'] max]]</f>
        <v>1.8596920563101473</v>
      </c>
      <c r="AJ49" s="37">
        <f>_xlfn.XLOOKUP(Baukon[[#This Row],[LCA Datensatz]],LeitRess_Materialien[Material_UUID],LeitRess_Materialien[PENRT '[MJ/kg']])*Baukon[[#This Row],[Masse '[kg/m²'] Referenz]]</f>
        <v>26.945451563913227</v>
      </c>
      <c r="AK49" s="37">
        <f>_xlfn.XLOOKUP(Baukon[[#This Row],[LCA Datensatz]],LeitRess_Materialien[Material_UUID],LeitRess_Materialien[PENRT '[MJ/kg']])*Baukon[[#This Row],[Masse '[kg/m²'] min]]</f>
        <v>26.945451563913227</v>
      </c>
      <c r="AL49" s="37">
        <f>_xlfn.XLOOKUP(Baukon[[#This Row],[LCA Datensatz]],LeitRess_Materialien[Material_UUID],LeitRess_Materialien[PENRT '[MJ/kg']])*Baukon[[#This Row],[Masse '[kg/m²'] max]]</f>
        <v>26.945451563913227</v>
      </c>
      <c r="AM49" s="37" t="e">
        <f>_xlfn.XLOOKUP(Baukon[[#This Row],[LCA Datensatz]],LeitRess_Materialien[Material_UUID],#REF!)*Baukon[[#This Row],[Masse '[kg/m²'] Referenz]]</f>
        <v>#REF!</v>
      </c>
      <c r="AN49" s="37" t="e">
        <f>_xlfn.XLOOKUP(Baukon[[#This Row],[LCA Datensatz]],LeitRess_Materialien[Material_UUID],#REF!)*Baukon[[#This Row],[Masse '[kg/m²'] min]]</f>
        <v>#REF!</v>
      </c>
      <c r="AO49" s="37" t="e">
        <f>_xlfn.XLOOKUP(Baukon[[#This Row],[LCA Datensatz]],LeitRess_Materialien[Material_UUID],#REF!)*Baukon[[#This Row],[Masse '[kg/m²'] max]]</f>
        <v>#REF!</v>
      </c>
      <c r="AP49" s="37">
        <f>_xlfn.XLOOKUP(Baukon[[#This Row],[LCA Datensatz]],LeitRess_Materialien[Material_UUID],LeitRess_Materialien[WDP '[m³ weighted water/kg']])*Baukon[[#This Row],[Masse '[kg/m²'] Referenz]]</f>
        <v>1.9586296940800589</v>
      </c>
      <c r="AQ49" s="37">
        <f>_xlfn.XLOOKUP(Baukon[[#This Row],[LCA Datensatz]],LeitRess_Materialien[Material_UUID],LeitRess_Materialien[WDP '[m³ weighted water/kg']])*Baukon[[#This Row],[Masse '[kg/m²'] min]]</f>
        <v>1.9586296940800589</v>
      </c>
      <c r="AR49" s="37">
        <f>_xlfn.XLOOKUP(Baukon[[#This Row],[LCA Datensatz]],LeitRess_Materialien[Material_UUID],LeitRess_Materialien[WDP '[m³ weighted water/kg']])*Baukon[[#This Row],[Masse '[kg/m²'] max]]</f>
        <v>1.9586296940800589</v>
      </c>
      <c r="AS49" s="39">
        <f>Baukon[[#This Row],[GWP '[kg CO2-Äqu./m²'] Referenz]]/'Ausgabe Tabellen'!$C$21+Baukon[[#This Row],[PENRT '[MJ/m²'] Referenz]]/'Ausgabe Tabellen'!$C$22+Baukon[[#This Row],[RMI '[kg Primärrohstoffe/m²'] Referenz]]/'Ausgabe Tabellen'!$C$23+Baukon[[#This Row],[WDP '[m² weighted water/m²'] Referenz]]/'Ausgabe Tabellen'!$C$24</f>
        <v>1.0580831622736952E-3</v>
      </c>
      <c r="AT49" s="39">
        <f>Baukon[[#This Row],[GWP '[kg CO2-Äqu./m²'] min]]/'Ausgabe Tabellen'!$C$21+Baukon[[#This Row],[PENRT '[MJ/m²'] min]]/'Ausgabe Tabellen'!$C$22+Baukon[[#This Row],[RMI '[kg Primärrohstoffe/m²'] min]]/'Ausgabe Tabellen'!$C$23+Baukon[[#This Row],[WDP '[m² weighted water/m²'] min]]/'Ausgabe Tabellen'!$C$24</f>
        <v>1.0580831622736952E-3</v>
      </c>
      <c r="AU49" s="39">
        <f>Baukon[[#This Row],[GWP '[kg CO2-Äqu./m²'] max]]/'Ausgabe Tabellen'!$C$21+Baukon[[#This Row],[PENRT '[MJ/m²'] max]]/'Ausgabe Tabellen'!$C$22+Baukon[[#This Row],[RMI '[kg Primärrohstoffe/m²'] max]]/'Ausgabe Tabellen'!$C$23+Baukon[[#This Row],[WDP '[m² weighted water/m²'] max]]/'Ausgabe Tabellen'!$C$24</f>
        <v>1.0580831622736952E-3</v>
      </c>
    </row>
    <row r="50" spans="1:47" s="24" customFormat="1" ht="15.75" x14ac:dyDescent="0.5">
      <c r="A50" s="36" t="s">
        <v>87</v>
      </c>
      <c r="B50" s="36" t="s">
        <v>316</v>
      </c>
      <c r="C50" s="36">
        <v>6</v>
      </c>
      <c r="D50" s="36" t="s">
        <v>312</v>
      </c>
      <c r="E50" s="36" t="str">
        <f>Baukon[[#This Row],[Variante Nummer]]&amp;". "&amp;Baukon[[#This Row],[Name Baukonstruktion]]&amp;" | " &amp;Baukon[[#This Row],[Variante Name]]</f>
        <v>6. Mauerwerk, zweischalig - Vollziegel (VZ) | Referenz MiWo</v>
      </c>
      <c r="F50" s="36" t="s">
        <v>328</v>
      </c>
      <c r="G50" s="36" t="s">
        <v>266</v>
      </c>
      <c r="H50" s="36" t="s">
        <v>225</v>
      </c>
      <c r="I50" s="41">
        <v>240</v>
      </c>
      <c r="J50" s="36">
        <f>IF(Baukon[[#This Row],[Material ist Dämmstoff?]]="ja",Baukon[[#This Row],[Dicke '[mm'] Referenz]]+_xlfn.XLOOKUP(RIGHT(Baukon[[#Headers],[Dicke '[mm'] min]],3),Dämmstoffvarianten[Variante],Dämmstoffvarianten[Differenz Dämmstoffedicke zu Referenz '[mm']]),Baukon[[#This Row],[Dicke '[mm'] Referenz]])</f>
        <v>240</v>
      </c>
      <c r="K50" s="36">
        <f>IF(Baukon[[#This Row],[Material ist Dämmstoff?]]="ja",Baukon[[#This Row],[Dicke '[mm'] Referenz]]+_xlfn.XLOOKUP(RIGHT(Baukon[[#Headers],[Dicke '[mm'] max]],3),Dämmstoffvarianten[Variante],Dämmstoffvarianten[Differenz Dämmstoffedicke zu Referenz '[mm']]),Baukon[[#This Row],[Dicke '[mm'] Referenz]])</f>
        <v>240</v>
      </c>
      <c r="L50" s="43">
        <v>1</v>
      </c>
      <c r="M50" s="41"/>
      <c r="N50" s="103">
        <f>IFERROR(Baukon[[#This Row],[Dicke '[mm'] Referenz]]/1000*Baukon[[#This Row],[Flächenanteil '[%']]],"")</f>
        <v>0.24</v>
      </c>
      <c r="O50" s="103">
        <f>IFERROR(Baukon[[#This Row],[Dicke '[mm'] min]]/1000*Baukon[[#This Row],[Flächenanteil '[%']]],"")</f>
        <v>0.24</v>
      </c>
      <c r="P50" s="103">
        <f>IFERROR(Baukon[[#This Row],[Dicke '[mm'] max]]/1000*Baukon[[#This Row],[Flächenanteil '[%']]],"")</f>
        <v>0.24</v>
      </c>
      <c r="Q50"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138</v>
      </c>
      <c r="R50"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138</v>
      </c>
      <c r="S50"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138</v>
      </c>
      <c r="T50" s="42" t="s">
        <v>226</v>
      </c>
      <c r="U50" s="103" t="str">
        <f>_xlfn.XLOOKUP(Baukon[[#This Row],[Material]],LeitRess_Materialien[Name],LeitRess_Materialien[Material_UUID])</f>
        <v>08dd0308-eebf-4db1-82ee-b340d070c9b9</v>
      </c>
      <c r="V50" s="42">
        <f>_xlfn.XLOOKUP(Baukon[[#This Row],[LCA Datensatz]],LeitRess_Materialien[Material_UUID],LeitRess_Materialien[Rohdichte_'[kg/m3']])</f>
        <v>575</v>
      </c>
      <c r="W50" s="42">
        <f>_xlfn.XLOOKUP(Baukon[[#This Row],[LCA Datensatz]],LeitRess_Materialien[Material_UUID],LeitRess_Materialien[Flächengewicht_'[kg/m2']])</f>
        <v>0</v>
      </c>
      <c r="X50" s="104">
        <f>_xlfn.XLOOKUP(Baukon[[#This Row],[LCA Datensatz]],LeitRess_Materialien[Material_UUID],LeitRess_Materialien[Längengewicht_'[kg/m']])</f>
        <v>0</v>
      </c>
      <c r="Y50" s="104">
        <f>_xlfn.XLOOKUP(Baukon[[#This Row],[LCA Datensatz]],LeitRess_Materialien[Material_UUID],LeitRess_Materialien[lambda_'[W/mK']])</f>
        <v>1.1000000000000001</v>
      </c>
      <c r="Z50" s="103">
        <f>IFERROR(Baukon[[#This Row],[Dicke '[mm'] Referenz]]/Baukon[[#This Row],[lambda_'[W/mK']]],"")</f>
        <v>218.18181818181816</v>
      </c>
      <c r="AA50" s="37">
        <f>_xlfn.XLOOKUP(Baukon[[#This Row],[LCA Datensatz]],LeitRess_Materialien[Material_UUID],LeitRess_Materialien[RMI '[kg Primärrohstoffe / kg']])*Baukon[[#This Row],[Masse '[kg/m²'] Referenz]]</f>
        <v>208.37308201480639</v>
      </c>
      <c r="AB50" s="37">
        <f>_xlfn.XLOOKUP(Baukon[[#This Row],[LCA Datensatz]],LeitRess_Materialien[Material_UUID],LeitRess_Materialien[RMI '[kg Primärrohstoffe / kg']])*Baukon[[#This Row],[Masse '[kg/m²'] min]]</f>
        <v>208.37308201480639</v>
      </c>
      <c r="AC50" s="37">
        <f>_xlfn.XLOOKUP(Baukon[[#This Row],[LCA Datensatz]],LeitRess_Materialien[Material_UUID],LeitRess_Materialien[RMI '[kg Primärrohstoffe / kg']])*Baukon[[#This Row],[Masse '[kg/m²'] max]]</f>
        <v>208.37308201480639</v>
      </c>
      <c r="AD50" s="37">
        <f>_xlfn.XLOOKUP(Baukon[[#This Row],[LCA Datensatz]],LeitRess_Materialien[Material_UUID],LeitRess_Materialien[TMR '[kg Gesamtmaterialaufwand/kg']])*Baukon[[#This Row],[Masse '[kg/m²'] Referenz]]</f>
        <v>454.73860772828544</v>
      </c>
      <c r="AE50" s="37">
        <f>_xlfn.XLOOKUP(Baukon[[#This Row],[LCA Datensatz]],LeitRess_Materialien[Material_UUID],LeitRess_Materialien[TMR '[kg Gesamtmaterialaufwand/kg']])*Baukon[[#This Row],[Masse '[kg/m²'] min]]</f>
        <v>454.73860772828544</v>
      </c>
      <c r="AF50" s="37">
        <f>_xlfn.XLOOKUP(Baukon[[#This Row],[LCA Datensatz]],LeitRess_Materialien[Material_UUID],LeitRess_Materialien[TMR '[kg Gesamtmaterialaufwand/kg']])*Baukon[[#This Row],[Masse '[kg/m²'] max]]</f>
        <v>454.73860772828544</v>
      </c>
      <c r="AG50" s="37">
        <f>_xlfn.XLOOKUP(Baukon[[#This Row],[LCA Datensatz]],LeitRess_Materialien[Material_UUID],LeitRess_Materialien[GWP '[kg CO2-Äqu./kg']])*Baukon[[#This Row],[Masse '[kg/m²'] Referenz]]</f>
        <v>33.459580284616145</v>
      </c>
      <c r="AH50" s="37">
        <f>_xlfn.XLOOKUP(Baukon[[#This Row],[LCA Datensatz]],LeitRess_Materialien[Material_UUID],LeitRess_Materialien[GWP '[kg CO2-Äqu./kg']])*Baukon[[#This Row],[Masse '[kg/m²'] min]]</f>
        <v>33.459580284616145</v>
      </c>
      <c r="AI50" s="37">
        <f>_xlfn.XLOOKUP(Baukon[[#This Row],[LCA Datensatz]],LeitRess_Materialien[Material_UUID],LeitRess_Materialien[GWP '[kg CO2-Äqu./kg']])*Baukon[[#This Row],[Masse '[kg/m²'] max]]</f>
        <v>33.459580284616145</v>
      </c>
      <c r="AJ50" s="37">
        <f>_xlfn.XLOOKUP(Baukon[[#This Row],[LCA Datensatz]],LeitRess_Materialien[Material_UUID],LeitRess_Materialien[PENRT '[MJ/kg']])*Baukon[[#This Row],[Masse '[kg/m²'] Referenz]]</f>
        <v>369.70430638014756</v>
      </c>
      <c r="AK50" s="37">
        <f>_xlfn.XLOOKUP(Baukon[[#This Row],[LCA Datensatz]],LeitRess_Materialien[Material_UUID],LeitRess_Materialien[PENRT '[MJ/kg']])*Baukon[[#This Row],[Masse '[kg/m²'] min]]</f>
        <v>369.70430638014756</v>
      </c>
      <c r="AL50" s="37">
        <f>_xlfn.XLOOKUP(Baukon[[#This Row],[LCA Datensatz]],LeitRess_Materialien[Material_UUID],LeitRess_Materialien[PENRT '[MJ/kg']])*Baukon[[#This Row],[Masse '[kg/m²'] max]]</f>
        <v>369.70430638014756</v>
      </c>
      <c r="AM50" s="37" t="e">
        <f>_xlfn.XLOOKUP(Baukon[[#This Row],[LCA Datensatz]],LeitRess_Materialien[Material_UUID],#REF!)*Baukon[[#This Row],[Masse '[kg/m²'] Referenz]]</f>
        <v>#REF!</v>
      </c>
      <c r="AN50" s="37" t="e">
        <f>_xlfn.XLOOKUP(Baukon[[#This Row],[LCA Datensatz]],LeitRess_Materialien[Material_UUID],#REF!)*Baukon[[#This Row],[Masse '[kg/m²'] min]]</f>
        <v>#REF!</v>
      </c>
      <c r="AO50" s="37" t="e">
        <f>_xlfn.XLOOKUP(Baukon[[#This Row],[LCA Datensatz]],LeitRess_Materialien[Material_UUID],#REF!)*Baukon[[#This Row],[Masse '[kg/m²'] max]]</f>
        <v>#REF!</v>
      </c>
      <c r="AP50" s="37">
        <f>_xlfn.XLOOKUP(Baukon[[#This Row],[LCA Datensatz]],LeitRess_Materialien[Material_UUID],LeitRess_Materialien[WDP '[m³ weighted water/kg']])*Baukon[[#This Row],[Masse '[kg/m²'] Referenz]]</f>
        <v>3.4691369163803656</v>
      </c>
      <c r="AQ50" s="37">
        <f>_xlfn.XLOOKUP(Baukon[[#This Row],[LCA Datensatz]],LeitRess_Materialien[Material_UUID],LeitRess_Materialien[WDP '[m³ weighted water/kg']])*Baukon[[#This Row],[Masse '[kg/m²'] min]]</f>
        <v>3.4691369163803656</v>
      </c>
      <c r="AR50" s="37">
        <f>_xlfn.XLOOKUP(Baukon[[#This Row],[LCA Datensatz]],LeitRess_Materialien[Material_UUID],LeitRess_Materialien[WDP '[m³ weighted water/kg']])*Baukon[[#This Row],[Masse '[kg/m²'] max]]</f>
        <v>3.4691369163803656</v>
      </c>
      <c r="AS50" s="39">
        <f>Baukon[[#This Row],[GWP '[kg CO2-Äqu./m²'] Referenz]]/'Ausgabe Tabellen'!$C$21+Baukon[[#This Row],[PENRT '[MJ/m²'] Referenz]]/'Ausgabe Tabellen'!$C$22+Baukon[[#This Row],[RMI '[kg Primärrohstoffe/m²'] Referenz]]/'Ausgabe Tabellen'!$C$23+Baukon[[#This Row],[WDP '[m² weighted water/m²'] Referenz]]/'Ausgabe Tabellen'!$C$24</f>
        <v>1.1696495000328577E-2</v>
      </c>
      <c r="AT50" s="39">
        <f>Baukon[[#This Row],[GWP '[kg CO2-Äqu./m²'] min]]/'Ausgabe Tabellen'!$C$21+Baukon[[#This Row],[PENRT '[MJ/m²'] min]]/'Ausgabe Tabellen'!$C$22+Baukon[[#This Row],[RMI '[kg Primärrohstoffe/m²'] min]]/'Ausgabe Tabellen'!$C$23+Baukon[[#This Row],[WDP '[m² weighted water/m²'] min]]/'Ausgabe Tabellen'!$C$24</f>
        <v>1.1696495000328577E-2</v>
      </c>
      <c r="AU50" s="39">
        <f>Baukon[[#This Row],[GWP '[kg CO2-Äqu./m²'] max]]/'Ausgabe Tabellen'!$C$21+Baukon[[#This Row],[PENRT '[MJ/m²'] max]]/'Ausgabe Tabellen'!$C$22+Baukon[[#This Row],[RMI '[kg Primärrohstoffe/m²'] max]]/'Ausgabe Tabellen'!$C$23+Baukon[[#This Row],[WDP '[m² weighted water/m²'] max]]/'Ausgabe Tabellen'!$C$24</f>
        <v>1.1696495000328577E-2</v>
      </c>
    </row>
    <row r="51" spans="1:47" s="24" customFormat="1" ht="15.75" x14ac:dyDescent="0.5">
      <c r="A51" s="36" t="s">
        <v>87</v>
      </c>
      <c r="B51" s="36" t="s">
        <v>316</v>
      </c>
      <c r="C51" s="36">
        <v>6</v>
      </c>
      <c r="D51" s="36" t="s">
        <v>312</v>
      </c>
      <c r="E51" s="36" t="str">
        <f>Baukon[[#This Row],[Variante Nummer]]&amp;". "&amp;Baukon[[#This Row],[Name Baukonstruktion]]&amp;" | " &amp;Baukon[[#This Row],[Variante Name]]</f>
        <v>6. Mauerwerk, zweischalig - Vollziegel (VZ) | Referenz MiWo</v>
      </c>
      <c r="F51" s="36" t="s">
        <v>330</v>
      </c>
      <c r="G51" s="36" t="s">
        <v>267</v>
      </c>
      <c r="H51" s="36" t="s">
        <v>225</v>
      </c>
      <c r="I51" s="41">
        <v>120</v>
      </c>
      <c r="J51" s="36">
        <f>IF(Baukon[[#This Row],[Material ist Dämmstoff?]]="ja",Baukon[[#This Row],[Dicke '[mm'] Referenz]]+_xlfn.XLOOKUP(RIGHT(Baukon[[#Headers],[Dicke '[mm'] min]],3),Dämmstoffvarianten[Variante],Dämmstoffvarianten[Differenz Dämmstoffedicke zu Referenz '[mm']]),Baukon[[#This Row],[Dicke '[mm'] Referenz]])</f>
        <v>120</v>
      </c>
      <c r="K51" s="36">
        <f>IF(Baukon[[#This Row],[Material ist Dämmstoff?]]="ja",Baukon[[#This Row],[Dicke '[mm'] Referenz]]+_xlfn.XLOOKUP(RIGHT(Baukon[[#Headers],[Dicke '[mm'] max]],3),Dämmstoffvarianten[Variante],Dämmstoffvarianten[Differenz Dämmstoffedicke zu Referenz '[mm']]),Baukon[[#This Row],[Dicke '[mm'] Referenz]])</f>
        <v>120</v>
      </c>
      <c r="L51" s="43">
        <v>1</v>
      </c>
      <c r="M51" s="41"/>
      <c r="N51" s="103">
        <f>IFERROR(Baukon[[#This Row],[Dicke '[mm'] Referenz]]/1000*Baukon[[#This Row],[Flächenanteil '[%']]],"")</f>
        <v>0.12</v>
      </c>
      <c r="O51" s="103">
        <f>IFERROR(Baukon[[#This Row],[Dicke '[mm'] min]]/1000*Baukon[[#This Row],[Flächenanteil '[%']]],"")</f>
        <v>0.12</v>
      </c>
      <c r="P51" s="103">
        <f>IFERROR(Baukon[[#This Row],[Dicke '[mm'] max]]/1000*Baukon[[#This Row],[Flächenanteil '[%']]],"")</f>
        <v>0.12</v>
      </c>
      <c r="Q51"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216</v>
      </c>
      <c r="R51"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216</v>
      </c>
      <c r="S51"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216</v>
      </c>
      <c r="T51" s="42" t="s">
        <v>226</v>
      </c>
      <c r="U51" s="103" t="str">
        <f>_xlfn.XLOOKUP(Baukon[[#This Row],[Material]],LeitRess_Materialien[Name],LeitRess_Materialien[Material_UUID])</f>
        <v>f74a19da-df9a-4462-a632-3b3dc83377b1</v>
      </c>
      <c r="V51" s="42">
        <f>_xlfn.XLOOKUP(Baukon[[#This Row],[LCA Datensatz]],LeitRess_Materialien[Material_UUID],LeitRess_Materialien[Rohdichte_'[kg/m3']])</f>
        <v>1800</v>
      </c>
      <c r="W51" s="42">
        <f>_xlfn.XLOOKUP(Baukon[[#This Row],[LCA Datensatz]],LeitRess_Materialien[Material_UUID],LeitRess_Materialien[Flächengewicht_'[kg/m2']])</f>
        <v>0</v>
      </c>
      <c r="X51" s="104">
        <f>_xlfn.XLOOKUP(Baukon[[#This Row],[LCA Datensatz]],LeitRess_Materialien[Material_UUID],LeitRess_Materialien[Längengewicht_'[kg/m']])</f>
        <v>0</v>
      </c>
      <c r="Y51" s="104">
        <f>_xlfn.XLOOKUP(Baukon[[#This Row],[LCA Datensatz]],LeitRess_Materialien[Material_UUID],LeitRess_Materialien[lambda_'[W/mK']])</f>
        <v>1.1000000000000001</v>
      </c>
      <c r="Z51" s="103">
        <f>IFERROR(Baukon[[#This Row],[Dicke '[mm'] Referenz]]/Baukon[[#This Row],[lambda_'[W/mK']]],"")</f>
        <v>109.09090909090908</v>
      </c>
      <c r="AA51" s="37">
        <f>_xlfn.XLOOKUP(Baukon[[#This Row],[LCA Datensatz]],LeitRess_Materialien[Material_UUID],LeitRess_Materialien[RMI '[kg Primärrohstoffe / kg']])*Baukon[[#This Row],[Masse '[kg/m²'] Referenz]]</f>
        <v>332.79054650941396</v>
      </c>
      <c r="AB51" s="37">
        <f>_xlfn.XLOOKUP(Baukon[[#This Row],[LCA Datensatz]],LeitRess_Materialien[Material_UUID],LeitRess_Materialien[RMI '[kg Primärrohstoffe / kg']])*Baukon[[#This Row],[Masse '[kg/m²'] min]]</f>
        <v>332.79054650941396</v>
      </c>
      <c r="AC51" s="37">
        <f>_xlfn.XLOOKUP(Baukon[[#This Row],[LCA Datensatz]],LeitRess_Materialien[Material_UUID],LeitRess_Materialien[RMI '[kg Primärrohstoffe / kg']])*Baukon[[#This Row],[Masse '[kg/m²'] max]]</f>
        <v>332.79054650941396</v>
      </c>
      <c r="AD51" s="37">
        <f>_xlfn.XLOOKUP(Baukon[[#This Row],[LCA Datensatz]],LeitRess_Materialien[Material_UUID],LeitRess_Materialien[TMR '[kg Gesamtmaterialaufwand/kg']])*Baukon[[#This Row],[Masse '[kg/m²'] Referenz]]</f>
        <v>719.97574650528747</v>
      </c>
      <c r="AE51" s="37">
        <f>_xlfn.XLOOKUP(Baukon[[#This Row],[LCA Datensatz]],LeitRess_Materialien[Material_UUID],LeitRess_Materialien[TMR '[kg Gesamtmaterialaufwand/kg']])*Baukon[[#This Row],[Masse '[kg/m²'] min]]</f>
        <v>719.97574650528747</v>
      </c>
      <c r="AF51" s="37">
        <f>_xlfn.XLOOKUP(Baukon[[#This Row],[LCA Datensatz]],LeitRess_Materialien[Material_UUID],LeitRess_Materialien[TMR '[kg Gesamtmaterialaufwand/kg']])*Baukon[[#This Row],[Masse '[kg/m²'] max]]</f>
        <v>719.97574650528747</v>
      </c>
      <c r="AG51" s="37">
        <f>_xlfn.XLOOKUP(Baukon[[#This Row],[LCA Datensatz]],LeitRess_Materialien[Material_UUID],LeitRess_Materialien[GWP '[kg CO2-Äqu./kg']])*Baukon[[#This Row],[Masse '[kg/m²'] Referenz]]</f>
        <v>76.702953942135437</v>
      </c>
      <c r="AH51" s="37">
        <f>_xlfn.XLOOKUP(Baukon[[#This Row],[LCA Datensatz]],LeitRess_Materialien[Material_UUID],LeitRess_Materialien[GWP '[kg CO2-Äqu./kg']])*Baukon[[#This Row],[Masse '[kg/m²'] min]]</f>
        <v>76.702953942135437</v>
      </c>
      <c r="AI51" s="37">
        <f>_xlfn.XLOOKUP(Baukon[[#This Row],[LCA Datensatz]],LeitRess_Materialien[Material_UUID],LeitRess_Materialien[GWP '[kg CO2-Äqu./kg']])*Baukon[[#This Row],[Masse '[kg/m²'] max]]</f>
        <v>76.702953942135437</v>
      </c>
      <c r="AJ51" s="37">
        <f>_xlfn.XLOOKUP(Baukon[[#This Row],[LCA Datensatz]],LeitRess_Materialien[Material_UUID],LeitRess_Materialien[PENRT '[MJ/kg']])*Baukon[[#This Row],[Masse '[kg/m²'] Referenz]]</f>
        <v>838.67953622181267</v>
      </c>
      <c r="AK51" s="37">
        <f>_xlfn.XLOOKUP(Baukon[[#This Row],[LCA Datensatz]],LeitRess_Materialien[Material_UUID],LeitRess_Materialien[PENRT '[MJ/kg']])*Baukon[[#This Row],[Masse '[kg/m²'] min]]</f>
        <v>838.67953622181267</v>
      </c>
      <c r="AL51" s="37">
        <f>_xlfn.XLOOKUP(Baukon[[#This Row],[LCA Datensatz]],LeitRess_Materialien[Material_UUID],LeitRess_Materialien[PENRT '[MJ/kg']])*Baukon[[#This Row],[Masse '[kg/m²'] max]]</f>
        <v>838.67953622181267</v>
      </c>
      <c r="AM51" s="37" t="e">
        <f>_xlfn.XLOOKUP(Baukon[[#This Row],[LCA Datensatz]],LeitRess_Materialien[Material_UUID],#REF!)*Baukon[[#This Row],[Masse '[kg/m²'] Referenz]]</f>
        <v>#REF!</v>
      </c>
      <c r="AN51" s="37" t="e">
        <f>_xlfn.XLOOKUP(Baukon[[#This Row],[LCA Datensatz]],LeitRess_Materialien[Material_UUID],#REF!)*Baukon[[#This Row],[Masse '[kg/m²'] min]]</f>
        <v>#REF!</v>
      </c>
      <c r="AO51" s="37" t="e">
        <f>_xlfn.XLOOKUP(Baukon[[#This Row],[LCA Datensatz]],LeitRess_Materialien[Material_UUID],#REF!)*Baukon[[#This Row],[Masse '[kg/m²'] max]]</f>
        <v>#REF!</v>
      </c>
      <c r="AP51" s="37">
        <f>_xlfn.XLOOKUP(Baukon[[#This Row],[LCA Datensatz]],LeitRess_Materialien[Material_UUID],LeitRess_Materialien[WDP '[m³ weighted water/kg']])*Baukon[[#This Row],[Masse '[kg/m²'] Referenz]]</f>
        <v>7.8451483625078904</v>
      </c>
      <c r="AQ51" s="37">
        <f>_xlfn.XLOOKUP(Baukon[[#This Row],[LCA Datensatz]],LeitRess_Materialien[Material_UUID],LeitRess_Materialien[WDP '[m³ weighted water/kg']])*Baukon[[#This Row],[Masse '[kg/m²'] min]]</f>
        <v>7.8451483625078904</v>
      </c>
      <c r="AR51" s="37">
        <f>_xlfn.XLOOKUP(Baukon[[#This Row],[LCA Datensatz]],LeitRess_Materialien[Material_UUID],LeitRess_Materialien[WDP '[m³ weighted water/kg']])*Baukon[[#This Row],[Masse '[kg/m²'] max]]</f>
        <v>7.8451483625078904</v>
      </c>
      <c r="AS51" s="39">
        <f>Baukon[[#This Row],[GWP '[kg CO2-Äqu./m²'] Referenz]]/'Ausgabe Tabellen'!$C$21+Baukon[[#This Row],[PENRT '[MJ/m²'] Referenz]]/'Ausgabe Tabellen'!$C$22+Baukon[[#This Row],[RMI '[kg Primärrohstoffe/m²'] Referenz]]/'Ausgabe Tabellen'!$C$23+Baukon[[#This Row],[WDP '[m² weighted water/m²'] Referenz]]/'Ausgabe Tabellen'!$C$24</f>
        <v>2.2771098142268676E-2</v>
      </c>
      <c r="AT51" s="39">
        <f>Baukon[[#This Row],[GWP '[kg CO2-Äqu./m²'] min]]/'Ausgabe Tabellen'!$C$21+Baukon[[#This Row],[PENRT '[MJ/m²'] min]]/'Ausgabe Tabellen'!$C$22+Baukon[[#This Row],[RMI '[kg Primärrohstoffe/m²'] min]]/'Ausgabe Tabellen'!$C$23+Baukon[[#This Row],[WDP '[m² weighted water/m²'] min]]/'Ausgabe Tabellen'!$C$24</f>
        <v>2.2771098142268676E-2</v>
      </c>
      <c r="AU51" s="39">
        <f>Baukon[[#This Row],[GWP '[kg CO2-Äqu./m²'] max]]/'Ausgabe Tabellen'!$C$21+Baukon[[#This Row],[PENRT '[MJ/m²'] max]]/'Ausgabe Tabellen'!$C$22+Baukon[[#This Row],[RMI '[kg Primärrohstoffe/m²'] max]]/'Ausgabe Tabellen'!$C$23+Baukon[[#This Row],[WDP '[m² weighted water/m²'] max]]/'Ausgabe Tabellen'!$C$24</f>
        <v>2.2771098142268676E-2</v>
      </c>
    </row>
    <row r="52" spans="1:47" s="24" customFormat="1" ht="15.75" x14ac:dyDescent="0.5">
      <c r="A52" s="36" t="s">
        <v>87</v>
      </c>
      <c r="B52" s="36" t="s">
        <v>325</v>
      </c>
      <c r="C52" s="36">
        <v>7</v>
      </c>
      <c r="D52" s="36" t="s">
        <v>312</v>
      </c>
      <c r="E52" s="36" t="str">
        <f>Baukon[[#This Row],[Variante Nummer]]&amp;". "&amp;Baukon[[#This Row],[Name Baukonstruktion]]&amp;" | " &amp;Baukon[[#This Row],[Variante Name]]</f>
        <v>7. Holzrahmenbau - Holzständerbauweise (HSB) | Referenz MiWo</v>
      </c>
      <c r="F52" s="36" t="s">
        <v>324</v>
      </c>
      <c r="G52" s="36" t="s">
        <v>240</v>
      </c>
      <c r="H52" s="36" t="s">
        <v>225</v>
      </c>
      <c r="I52" s="41" t="s">
        <v>498</v>
      </c>
      <c r="J52" s="36" t="str">
        <f>IF(Baukon[[#This Row],[Material ist Dämmstoff?]]="ja",Baukon[[#This Row],[Dicke '[mm'] Referenz]]+_xlfn.XLOOKUP(RIGHT(Baukon[[#Headers],[Dicke '[mm'] min]],3),Dämmstoffvarianten[Variante],Dämmstoffvarianten[Differenz Dämmstoffedicke zu Referenz '[mm']]),Baukon[[#This Row],[Dicke '[mm'] Referenz]])</f>
        <v>12,5</v>
      </c>
      <c r="K52" s="36" t="str">
        <f>IF(Baukon[[#This Row],[Material ist Dämmstoff?]]="ja",Baukon[[#This Row],[Dicke '[mm'] Referenz]]+_xlfn.XLOOKUP(RIGHT(Baukon[[#Headers],[Dicke '[mm'] max]],3),Dämmstoffvarianten[Variante],Dämmstoffvarianten[Differenz Dämmstoffedicke zu Referenz '[mm']]),Baukon[[#This Row],[Dicke '[mm'] Referenz]])</f>
        <v>12,5</v>
      </c>
      <c r="L52" s="43">
        <v>1</v>
      </c>
      <c r="M52" s="41"/>
      <c r="N52" s="103">
        <f>IFERROR(Baukon[[#This Row],[Dicke '[mm'] Referenz]]/1000*Baukon[[#This Row],[Flächenanteil '[%']]],"")</f>
        <v>1.2500000000000001E-2</v>
      </c>
      <c r="O52" s="103">
        <f>IFERROR(Baukon[[#This Row],[Dicke '[mm'] min]]/1000*Baukon[[#This Row],[Flächenanteil '[%']]],"")</f>
        <v>1.2500000000000001E-2</v>
      </c>
      <c r="P52" s="103">
        <f>IFERROR(Baukon[[#This Row],[Dicke '[mm'] max]]/1000*Baukon[[#This Row],[Flächenanteil '[%']]],"")</f>
        <v>1.2500000000000001E-2</v>
      </c>
      <c r="Q52"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10</v>
      </c>
      <c r="R52"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10</v>
      </c>
      <c r="S52"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10</v>
      </c>
      <c r="T52" s="42" t="s">
        <v>226</v>
      </c>
      <c r="U52" s="103" t="str">
        <f>_xlfn.XLOOKUP(Baukon[[#This Row],[Material]],LeitRess_Materialien[Name],LeitRess_Materialien[Material_UUID])</f>
        <v>07423e99-8c7c-4e93-8311-dcf7ae85c41d</v>
      </c>
      <c r="V52" s="42">
        <f>_xlfn.XLOOKUP(Baukon[[#This Row],[LCA Datensatz]],LeitRess_Materialien[Material_UUID],LeitRess_Materialien[Rohdichte_'[kg/m3']])</f>
        <v>800</v>
      </c>
      <c r="W52" s="42">
        <f>_xlfn.XLOOKUP(Baukon[[#This Row],[LCA Datensatz]],LeitRess_Materialien[Material_UUID],LeitRess_Materialien[Flächengewicht_'[kg/m2']])</f>
        <v>10</v>
      </c>
      <c r="X52" s="104">
        <f>_xlfn.XLOOKUP(Baukon[[#This Row],[LCA Datensatz]],LeitRess_Materialien[Material_UUID],LeitRess_Materialien[Längengewicht_'[kg/m']])</f>
        <v>0</v>
      </c>
      <c r="Y52" s="104">
        <f>_xlfn.XLOOKUP(Baukon[[#This Row],[LCA Datensatz]],LeitRess_Materialien[Material_UUID],LeitRess_Materialien[lambda_'[W/mK']])</f>
        <v>0.2</v>
      </c>
      <c r="Z52" s="103">
        <f>IFERROR(Baukon[[#This Row],[Dicke '[mm'] Referenz]]/Baukon[[#This Row],[lambda_'[W/mK']]],"")</f>
        <v>62.5</v>
      </c>
      <c r="AA52" s="37">
        <f>_xlfn.XLOOKUP(Baukon[[#This Row],[LCA Datensatz]],LeitRess_Materialien[Material_UUID],LeitRess_Materialien[RMI '[kg Primärrohstoffe / kg']])*Baukon[[#This Row],[Masse '[kg/m²'] Referenz]]</f>
        <v>9.6885190926662101</v>
      </c>
      <c r="AB52" s="37">
        <f>_xlfn.XLOOKUP(Baukon[[#This Row],[LCA Datensatz]],LeitRess_Materialien[Material_UUID],LeitRess_Materialien[RMI '[kg Primärrohstoffe / kg']])*Baukon[[#This Row],[Masse '[kg/m²'] min]]</f>
        <v>9.6885190926662101</v>
      </c>
      <c r="AC52" s="37">
        <f>_xlfn.XLOOKUP(Baukon[[#This Row],[LCA Datensatz]],LeitRess_Materialien[Material_UUID],LeitRess_Materialien[RMI '[kg Primärrohstoffe / kg']])*Baukon[[#This Row],[Masse '[kg/m²'] max]]</f>
        <v>9.6885190926662101</v>
      </c>
      <c r="AD52" s="37">
        <f>_xlfn.XLOOKUP(Baukon[[#This Row],[LCA Datensatz]],LeitRess_Materialien[Material_UUID],LeitRess_Materialien[TMR '[kg Gesamtmaterialaufwand/kg']])*Baukon[[#This Row],[Masse '[kg/m²'] Referenz]]</f>
        <v>10.504992021872901</v>
      </c>
      <c r="AE52" s="37">
        <f>_xlfn.XLOOKUP(Baukon[[#This Row],[LCA Datensatz]],LeitRess_Materialien[Material_UUID],LeitRess_Materialien[TMR '[kg Gesamtmaterialaufwand/kg']])*Baukon[[#This Row],[Masse '[kg/m²'] min]]</f>
        <v>10.504992021872901</v>
      </c>
      <c r="AF52" s="37">
        <f>_xlfn.XLOOKUP(Baukon[[#This Row],[LCA Datensatz]],LeitRess_Materialien[Material_UUID],LeitRess_Materialien[TMR '[kg Gesamtmaterialaufwand/kg']])*Baukon[[#This Row],[Masse '[kg/m²'] max]]</f>
        <v>10.504992021872901</v>
      </c>
      <c r="AG52" s="37">
        <f>_xlfn.XLOOKUP(Baukon[[#This Row],[LCA Datensatz]],LeitRess_Materialien[Material_UUID],LeitRess_Materialien[GWP '[kg CO2-Äqu./kg']])*Baukon[[#This Row],[Masse '[kg/m²'] Referenz]]</f>
        <v>2.5140556386449697</v>
      </c>
      <c r="AH52" s="37">
        <f>_xlfn.XLOOKUP(Baukon[[#This Row],[LCA Datensatz]],LeitRess_Materialien[Material_UUID],LeitRess_Materialien[GWP '[kg CO2-Äqu./kg']])*Baukon[[#This Row],[Masse '[kg/m²'] min]]</f>
        <v>2.5140556386449697</v>
      </c>
      <c r="AI52" s="37">
        <f>_xlfn.XLOOKUP(Baukon[[#This Row],[LCA Datensatz]],LeitRess_Materialien[Material_UUID],LeitRess_Materialien[GWP '[kg CO2-Äqu./kg']])*Baukon[[#This Row],[Masse '[kg/m²'] max]]</f>
        <v>2.5140556386449697</v>
      </c>
      <c r="AJ52" s="37">
        <f>_xlfn.XLOOKUP(Baukon[[#This Row],[LCA Datensatz]],LeitRess_Materialien[Material_UUID],LeitRess_Materialien[PENRT '[MJ/kg']])*Baukon[[#This Row],[Masse '[kg/m²'] Referenz]]</f>
        <v>38.560990916917703</v>
      </c>
      <c r="AK52" s="37">
        <f>_xlfn.XLOOKUP(Baukon[[#This Row],[LCA Datensatz]],LeitRess_Materialien[Material_UUID],LeitRess_Materialien[PENRT '[MJ/kg']])*Baukon[[#This Row],[Masse '[kg/m²'] min]]</f>
        <v>38.560990916917703</v>
      </c>
      <c r="AL52" s="37">
        <f>_xlfn.XLOOKUP(Baukon[[#This Row],[LCA Datensatz]],LeitRess_Materialien[Material_UUID],LeitRess_Materialien[PENRT '[MJ/kg']])*Baukon[[#This Row],[Masse '[kg/m²'] max]]</f>
        <v>38.560990916917703</v>
      </c>
      <c r="AM52" s="37" t="e">
        <f>_xlfn.XLOOKUP(Baukon[[#This Row],[LCA Datensatz]],LeitRess_Materialien[Material_UUID],#REF!)*Baukon[[#This Row],[Masse '[kg/m²'] Referenz]]</f>
        <v>#REF!</v>
      </c>
      <c r="AN52" s="37" t="e">
        <f>_xlfn.XLOOKUP(Baukon[[#This Row],[LCA Datensatz]],LeitRess_Materialien[Material_UUID],#REF!)*Baukon[[#This Row],[Masse '[kg/m²'] min]]</f>
        <v>#REF!</v>
      </c>
      <c r="AO52" s="37" t="e">
        <f>_xlfn.XLOOKUP(Baukon[[#This Row],[LCA Datensatz]],LeitRess_Materialien[Material_UUID],#REF!)*Baukon[[#This Row],[Masse '[kg/m²'] max]]</f>
        <v>#REF!</v>
      </c>
      <c r="AP52" s="37">
        <f>_xlfn.XLOOKUP(Baukon[[#This Row],[LCA Datensatz]],LeitRess_Materialien[Material_UUID],LeitRess_Materialien[WDP '[m³ weighted water/kg']])*Baukon[[#This Row],[Masse '[kg/m²'] Referenz]]</f>
        <v>1.2506783392176499</v>
      </c>
      <c r="AQ52" s="37">
        <f>_xlfn.XLOOKUP(Baukon[[#This Row],[LCA Datensatz]],LeitRess_Materialien[Material_UUID],LeitRess_Materialien[WDP '[m³ weighted water/kg']])*Baukon[[#This Row],[Masse '[kg/m²'] min]]</f>
        <v>1.2506783392176499</v>
      </c>
      <c r="AR52" s="37">
        <f>_xlfn.XLOOKUP(Baukon[[#This Row],[LCA Datensatz]],LeitRess_Materialien[Material_UUID],LeitRess_Materialien[WDP '[m³ weighted water/kg']])*Baukon[[#This Row],[Masse '[kg/m²'] max]]</f>
        <v>1.2506783392176499</v>
      </c>
      <c r="AS52" s="39">
        <f>Baukon[[#This Row],[GWP '[kg CO2-Äqu./m²'] Referenz]]/'Ausgabe Tabellen'!$C$21+Baukon[[#This Row],[PENRT '[MJ/m²'] Referenz]]/'Ausgabe Tabellen'!$C$22+Baukon[[#This Row],[RMI '[kg Primärrohstoffe/m²'] Referenz]]/'Ausgabe Tabellen'!$C$23+Baukon[[#This Row],[WDP '[m² weighted water/m²'] Referenz]]/'Ausgabe Tabellen'!$C$24</f>
        <v>8.7990794098609262E-4</v>
      </c>
      <c r="AT52" s="39">
        <f>Baukon[[#This Row],[GWP '[kg CO2-Äqu./m²'] min]]/'Ausgabe Tabellen'!$C$21+Baukon[[#This Row],[PENRT '[MJ/m²'] min]]/'Ausgabe Tabellen'!$C$22+Baukon[[#This Row],[RMI '[kg Primärrohstoffe/m²'] min]]/'Ausgabe Tabellen'!$C$23+Baukon[[#This Row],[WDP '[m² weighted water/m²'] min]]/'Ausgabe Tabellen'!$C$24</f>
        <v>8.7990794098609262E-4</v>
      </c>
      <c r="AU52" s="39">
        <f>Baukon[[#This Row],[GWP '[kg CO2-Äqu./m²'] max]]/'Ausgabe Tabellen'!$C$21+Baukon[[#This Row],[PENRT '[MJ/m²'] max]]/'Ausgabe Tabellen'!$C$22+Baukon[[#This Row],[RMI '[kg Primärrohstoffe/m²'] max]]/'Ausgabe Tabellen'!$C$23+Baukon[[#This Row],[WDP '[m² weighted water/m²'] max]]/'Ausgabe Tabellen'!$C$24</f>
        <v>8.7990794098609262E-4</v>
      </c>
    </row>
    <row r="53" spans="1:47" s="24" customFormat="1" ht="15.75" x14ac:dyDescent="0.5">
      <c r="A53" s="36" t="s">
        <v>87</v>
      </c>
      <c r="B53" s="36" t="s">
        <v>325</v>
      </c>
      <c r="C53" s="36">
        <v>7</v>
      </c>
      <c r="D53" s="36" t="s">
        <v>312</v>
      </c>
      <c r="E53" s="36" t="str">
        <f>Baukon[[#This Row],[Variante Nummer]]&amp;". "&amp;Baukon[[#This Row],[Name Baukonstruktion]]&amp;" | " &amp;Baukon[[#This Row],[Variante Name]]</f>
        <v>7. Holzrahmenbau - Holzständerbauweise (HSB) | Referenz MiWo</v>
      </c>
      <c r="F53" s="36" t="s">
        <v>243</v>
      </c>
      <c r="G53" s="36" t="s">
        <v>243</v>
      </c>
      <c r="H53" s="36" t="s">
        <v>225</v>
      </c>
      <c r="I53" s="41">
        <f>120</f>
        <v>120</v>
      </c>
      <c r="J53" s="36">
        <f>IF(Baukon[[#This Row],[Material ist Dämmstoff?]]="ja",Baukon[[#This Row],[Dicke '[mm'] Referenz]]+_xlfn.XLOOKUP(RIGHT(Baukon[[#Headers],[Dicke '[mm'] min]],3),Dämmstoffvarianten[Variante],Dämmstoffvarianten[Differenz Dämmstoffedicke zu Referenz '[mm']]),Baukon[[#This Row],[Dicke '[mm'] Referenz]])</f>
        <v>120</v>
      </c>
      <c r="K53" s="36">
        <f>IF(Baukon[[#This Row],[Material ist Dämmstoff?]]="ja",Baukon[[#This Row],[Dicke '[mm'] Referenz]]+_xlfn.XLOOKUP(RIGHT(Baukon[[#Headers],[Dicke '[mm'] max]],3),Dämmstoffvarianten[Variante],Dämmstoffvarianten[Differenz Dämmstoffedicke zu Referenz '[mm']]),Baukon[[#This Row],[Dicke '[mm'] Referenz]])</f>
        <v>120</v>
      </c>
      <c r="L53" s="43">
        <f>1/0.6*0.12</f>
        <v>0.2</v>
      </c>
      <c r="M53" s="41"/>
      <c r="N53" s="103">
        <f>IFERROR(Baukon[[#This Row],[Dicke '[mm'] Referenz]]/1000*Baukon[[#This Row],[Flächenanteil '[%']]],"")</f>
        <v>2.4E-2</v>
      </c>
      <c r="O53" s="103">
        <f>IFERROR(Baukon[[#This Row],[Dicke '[mm'] min]]/1000*Baukon[[#This Row],[Flächenanteil '[%']]],"")</f>
        <v>2.4E-2</v>
      </c>
      <c r="P53" s="103">
        <f>IFERROR(Baukon[[#This Row],[Dicke '[mm'] max]]/1000*Baukon[[#This Row],[Flächenanteil '[%']]],"")</f>
        <v>2.4E-2</v>
      </c>
      <c r="Q53"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11.830080000000001</v>
      </c>
      <c r="R53"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11.830080000000001</v>
      </c>
      <c r="S53"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11.830080000000001</v>
      </c>
      <c r="T53" s="42" t="s">
        <v>442</v>
      </c>
      <c r="U53" s="103" t="str">
        <f>_xlfn.XLOOKUP(Baukon[[#This Row],[Material]],LeitRess_Materialien[Name],LeitRess_Materialien[Material_UUID])</f>
        <v>1a70d292-a82c-42a6-a378-d3cbd9a9af4e</v>
      </c>
      <c r="V53" s="42">
        <f>_xlfn.XLOOKUP(Baukon[[#This Row],[LCA Datensatz]],LeitRess_Materialien[Material_UUID],LeitRess_Materialien[Rohdichte_'[kg/m3']])</f>
        <v>492.92</v>
      </c>
      <c r="W53" s="42">
        <f>_xlfn.XLOOKUP(Baukon[[#This Row],[LCA Datensatz]],LeitRess_Materialien[Material_UUID],LeitRess_Materialien[Flächengewicht_'[kg/m2']])</f>
        <v>0</v>
      </c>
      <c r="X53" s="104">
        <f>_xlfn.XLOOKUP(Baukon[[#This Row],[LCA Datensatz]],LeitRess_Materialien[Material_UUID],LeitRess_Materialien[Längengewicht_'[kg/m']])</f>
        <v>0</v>
      </c>
      <c r="Y53" s="104">
        <f>_xlfn.XLOOKUP(Baukon[[#This Row],[LCA Datensatz]],LeitRess_Materialien[Material_UUID],LeitRess_Materialien[lambda_'[W/mK']])</f>
        <v>0.1</v>
      </c>
      <c r="Z53" s="103">
        <f>IFERROR(Baukon[[#This Row],[Dicke '[mm'] Referenz]]/Baukon[[#This Row],[lambda_'[W/mK']]],"")</f>
        <v>1200</v>
      </c>
      <c r="AA53" s="37">
        <f>_xlfn.XLOOKUP(Baukon[[#This Row],[LCA Datensatz]],LeitRess_Materialien[Material_UUID],LeitRess_Materialien[RMI '[kg Primärrohstoffe / kg']])*Baukon[[#This Row],[Masse '[kg/m²'] Referenz]]</f>
        <v>23.922847238298257</v>
      </c>
      <c r="AB53" s="37">
        <f>_xlfn.XLOOKUP(Baukon[[#This Row],[LCA Datensatz]],LeitRess_Materialien[Material_UUID],LeitRess_Materialien[RMI '[kg Primärrohstoffe / kg']])*Baukon[[#This Row],[Masse '[kg/m²'] min]]</f>
        <v>23.922847238298257</v>
      </c>
      <c r="AC53" s="37">
        <f>_xlfn.XLOOKUP(Baukon[[#This Row],[LCA Datensatz]],LeitRess_Materialien[Material_UUID],LeitRess_Materialien[RMI '[kg Primärrohstoffe / kg']])*Baukon[[#This Row],[Masse '[kg/m²'] max]]</f>
        <v>23.922847238298257</v>
      </c>
      <c r="AD53" s="37">
        <f>_xlfn.XLOOKUP(Baukon[[#This Row],[LCA Datensatz]],LeitRess_Materialien[Material_UUID],LeitRess_Materialien[TMR '[kg Gesamtmaterialaufwand/kg']])*Baukon[[#This Row],[Masse '[kg/m²'] Referenz]]</f>
        <v>27.693245889371099</v>
      </c>
      <c r="AE53" s="37">
        <f>_xlfn.XLOOKUP(Baukon[[#This Row],[LCA Datensatz]],LeitRess_Materialien[Material_UUID],LeitRess_Materialien[TMR '[kg Gesamtmaterialaufwand/kg']])*Baukon[[#This Row],[Masse '[kg/m²'] min]]</f>
        <v>27.693245889371099</v>
      </c>
      <c r="AF53" s="37">
        <f>_xlfn.XLOOKUP(Baukon[[#This Row],[LCA Datensatz]],LeitRess_Materialien[Material_UUID],LeitRess_Materialien[TMR '[kg Gesamtmaterialaufwand/kg']])*Baukon[[#This Row],[Masse '[kg/m²'] max]]</f>
        <v>27.693245889371099</v>
      </c>
      <c r="AG53" s="37">
        <f>_xlfn.XLOOKUP(Baukon[[#This Row],[LCA Datensatz]],LeitRess_Materialien[Material_UUID],LeitRess_Materialien[GWP '[kg CO2-Äqu./kg']])*Baukon[[#This Row],[Masse '[kg/m²'] Referenz]]</f>
        <v>2.4910172086284685</v>
      </c>
      <c r="AH53" s="37">
        <f>_xlfn.XLOOKUP(Baukon[[#This Row],[LCA Datensatz]],LeitRess_Materialien[Material_UUID],LeitRess_Materialien[GWP '[kg CO2-Äqu./kg']])*Baukon[[#This Row],[Masse '[kg/m²'] min]]</f>
        <v>2.4910172086284685</v>
      </c>
      <c r="AI53" s="37">
        <f>_xlfn.XLOOKUP(Baukon[[#This Row],[LCA Datensatz]],LeitRess_Materialien[Material_UUID],LeitRess_Materialien[GWP '[kg CO2-Äqu./kg']])*Baukon[[#This Row],[Masse '[kg/m²'] max]]</f>
        <v>2.4910172086284685</v>
      </c>
      <c r="AJ53" s="37">
        <f>_xlfn.XLOOKUP(Baukon[[#This Row],[LCA Datensatz]],LeitRess_Materialien[Material_UUID],LeitRess_Materialien[PENRT '[MJ/kg']])*Baukon[[#This Row],[Masse '[kg/m²'] Referenz]]</f>
        <v>45.106194662661636</v>
      </c>
      <c r="AK53" s="37">
        <f>_xlfn.XLOOKUP(Baukon[[#This Row],[LCA Datensatz]],LeitRess_Materialien[Material_UUID],LeitRess_Materialien[PENRT '[MJ/kg']])*Baukon[[#This Row],[Masse '[kg/m²'] min]]</f>
        <v>45.106194662661636</v>
      </c>
      <c r="AL53" s="37">
        <f>_xlfn.XLOOKUP(Baukon[[#This Row],[LCA Datensatz]],LeitRess_Materialien[Material_UUID],LeitRess_Materialien[PENRT '[MJ/kg']])*Baukon[[#This Row],[Masse '[kg/m²'] max]]</f>
        <v>45.106194662661636</v>
      </c>
      <c r="AM53" s="37" t="e">
        <f>_xlfn.XLOOKUP(Baukon[[#This Row],[LCA Datensatz]],LeitRess_Materialien[Material_UUID],#REF!)*Baukon[[#This Row],[Masse '[kg/m²'] Referenz]]</f>
        <v>#REF!</v>
      </c>
      <c r="AN53" s="37" t="e">
        <f>_xlfn.XLOOKUP(Baukon[[#This Row],[LCA Datensatz]],LeitRess_Materialien[Material_UUID],#REF!)*Baukon[[#This Row],[Masse '[kg/m²'] min]]</f>
        <v>#REF!</v>
      </c>
      <c r="AO53" s="37" t="e">
        <f>_xlfn.XLOOKUP(Baukon[[#This Row],[LCA Datensatz]],LeitRess_Materialien[Material_UUID],#REF!)*Baukon[[#This Row],[Masse '[kg/m²'] max]]</f>
        <v>#REF!</v>
      </c>
      <c r="AP53" s="37">
        <f>_xlfn.XLOOKUP(Baukon[[#This Row],[LCA Datensatz]],LeitRess_Materialien[Material_UUID],LeitRess_Materialien[WDP '[m³ weighted water/kg']])*Baukon[[#This Row],[Masse '[kg/m²'] Referenz]]</f>
        <v>1.0048021680413088</v>
      </c>
      <c r="AQ53" s="37">
        <f>_xlfn.XLOOKUP(Baukon[[#This Row],[LCA Datensatz]],LeitRess_Materialien[Material_UUID],LeitRess_Materialien[WDP '[m³ weighted water/kg']])*Baukon[[#This Row],[Masse '[kg/m²'] min]]</f>
        <v>1.0048021680413088</v>
      </c>
      <c r="AR53" s="37">
        <f>_xlfn.XLOOKUP(Baukon[[#This Row],[LCA Datensatz]],LeitRess_Materialien[Material_UUID],LeitRess_Materialien[WDP '[m³ weighted water/kg']])*Baukon[[#This Row],[Masse '[kg/m²'] max]]</f>
        <v>1.0048021680413088</v>
      </c>
      <c r="AS53" s="39">
        <f>Baukon[[#This Row],[GWP '[kg CO2-Äqu./m²'] Referenz]]/'Ausgabe Tabellen'!$C$21+Baukon[[#This Row],[PENRT '[MJ/m²'] Referenz]]/'Ausgabe Tabellen'!$C$22+Baukon[[#This Row],[RMI '[kg Primärrohstoffe/m²'] Referenz]]/'Ausgabe Tabellen'!$C$23+Baukon[[#This Row],[WDP '[m² weighted water/m²'] Referenz]]/'Ausgabe Tabellen'!$C$24</f>
        <v>1.2927542633527267E-3</v>
      </c>
      <c r="AT53" s="39">
        <f>Baukon[[#This Row],[GWP '[kg CO2-Äqu./m²'] min]]/'Ausgabe Tabellen'!$C$21+Baukon[[#This Row],[PENRT '[MJ/m²'] min]]/'Ausgabe Tabellen'!$C$22+Baukon[[#This Row],[RMI '[kg Primärrohstoffe/m²'] min]]/'Ausgabe Tabellen'!$C$23+Baukon[[#This Row],[WDP '[m² weighted water/m²'] min]]/'Ausgabe Tabellen'!$C$24</f>
        <v>1.2927542633527267E-3</v>
      </c>
      <c r="AU53" s="39">
        <f>Baukon[[#This Row],[GWP '[kg CO2-Äqu./m²'] max]]/'Ausgabe Tabellen'!$C$21+Baukon[[#This Row],[PENRT '[MJ/m²'] max]]/'Ausgabe Tabellen'!$C$22+Baukon[[#This Row],[RMI '[kg Primärrohstoffe/m²'] max]]/'Ausgabe Tabellen'!$C$23+Baukon[[#This Row],[WDP '[m² weighted water/m²'] max]]/'Ausgabe Tabellen'!$C$24</f>
        <v>1.2927542633527267E-3</v>
      </c>
    </row>
    <row r="54" spans="1:47" s="24" customFormat="1" ht="15.75" x14ac:dyDescent="0.5">
      <c r="A54" s="36" t="s">
        <v>87</v>
      </c>
      <c r="B54" s="36" t="s">
        <v>325</v>
      </c>
      <c r="C54" s="36">
        <v>7</v>
      </c>
      <c r="D54" s="36" t="s">
        <v>312</v>
      </c>
      <c r="E54" s="36" t="str">
        <f>Baukon[[#This Row],[Variante Nummer]]&amp;". "&amp;Baukon[[#This Row],[Name Baukonstruktion]]&amp;" | " &amp;Baukon[[#This Row],[Variante Name]]</f>
        <v>7. Holzrahmenbau - Holzständerbauweise (HSB) | Referenz MiWo</v>
      </c>
      <c r="F54" s="36" t="s">
        <v>331</v>
      </c>
      <c r="G54" s="36" t="s">
        <v>227</v>
      </c>
      <c r="H54" s="36" t="s">
        <v>228</v>
      </c>
      <c r="I54" s="41">
        <v>120</v>
      </c>
      <c r="J54" s="36">
        <f>IF(Baukon[[#This Row],[Material ist Dämmstoff?]]="ja",Baukon[[#This Row],[Dicke '[mm'] Referenz]]+_xlfn.XLOOKUP(RIGHT(Baukon[[#Headers],[Dicke '[mm'] min]],3),Dämmstoffvarianten[Variante],Dämmstoffvarianten[Differenz Dämmstoffedicke zu Referenz '[mm']]),Baukon[[#This Row],[Dicke '[mm'] Referenz]])</f>
        <v>80</v>
      </c>
      <c r="K54" s="36">
        <f>IF(Baukon[[#This Row],[Material ist Dämmstoff?]]="ja",Baukon[[#This Row],[Dicke '[mm'] Referenz]]+_xlfn.XLOOKUP(RIGHT(Baukon[[#Headers],[Dicke '[mm'] max]],3),Dämmstoffvarianten[Variante],Dämmstoffvarianten[Differenz Dämmstoffedicke zu Referenz '[mm']]),Baukon[[#This Row],[Dicke '[mm'] Referenz]])</f>
        <v>200</v>
      </c>
      <c r="L54" s="43">
        <v>0.86</v>
      </c>
      <c r="M54" s="41"/>
      <c r="N54" s="103">
        <f>IFERROR(Baukon[[#This Row],[Dicke '[mm'] Referenz]]/1000*Baukon[[#This Row],[Flächenanteil '[%']]],"")</f>
        <v>0.1032</v>
      </c>
      <c r="O54" s="103">
        <f>IFERROR(Baukon[[#This Row],[Dicke '[mm'] min]]/1000*Baukon[[#This Row],[Flächenanteil '[%']]],"")</f>
        <v>6.88E-2</v>
      </c>
      <c r="P54" s="103">
        <f>IFERROR(Baukon[[#This Row],[Dicke '[mm'] max]]/1000*Baukon[[#This Row],[Flächenanteil '[%']]],"")</f>
        <v>0.17200000000000001</v>
      </c>
      <c r="Q54"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4.7729999999999997</v>
      </c>
      <c r="R54"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3.1819999999999999</v>
      </c>
      <c r="S54"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7.955000000000001</v>
      </c>
      <c r="T54" s="42" t="s">
        <v>227</v>
      </c>
      <c r="U54" s="103" t="str">
        <f>_xlfn.XLOOKUP(Baukon[[#This Row],[Material]],LeitRess_Materialien[Name],LeitRess_Materialien[Material_UUID])</f>
        <v>f8afef87-5de3-4996-838c-1f2af9ef81df</v>
      </c>
      <c r="V54" s="42">
        <f>_xlfn.XLOOKUP(Baukon[[#This Row],[LCA Datensatz]],LeitRess_Materialien[Material_UUID],LeitRess_Materialien[Rohdichte_'[kg/m3']])</f>
        <v>46.25</v>
      </c>
      <c r="W54" s="42">
        <f>_xlfn.XLOOKUP(Baukon[[#This Row],[LCA Datensatz]],LeitRess_Materialien[Material_UUID],LeitRess_Materialien[Flächengewicht_'[kg/m2']])</f>
        <v>0</v>
      </c>
      <c r="X54" s="104">
        <f>_xlfn.XLOOKUP(Baukon[[#This Row],[LCA Datensatz]],LeitRess_Materialien[Material_UUID],LeitRess_Materialien[Längengewicht_'[kg/m']])</f>
        <v>0</v>
      </c>
      <c r="Y54" s="104">
        <f>_xlfn.XLOOKUP(Baukon[[#This Row],[LCA Datensatz]],LeitRess_Materialien[Material_UUID],LeitRess_Materialien[lambda_'[W/mK']])</f>
        <v>4.2000000000000003E-2</v>
      </c>
      <c r="Z54" s="103">
        <f>IFERROR(Baukon[[#This Row],[Dicke '[mm'] Referenz]]/Baukon[[#This Row],[lambda_'[W/mK']]],"")</f>
        <v>2857.1428571428569</v>
      </c>
      <c r="AA54" s="37">
        <f>_xlfn.XLOOKUP(Baukon[[#This Row],[LCA Datensatz]],LeitRess_Materialien[Material_UUID],LeitRess_Materialien[RMI '[kg Primärrohstoffe / kg']])*Baukon[[#This Row],[Masse '[kg/m²'] Referenz]]</f>
        <v>9.1978582277126737</v>
      </c>
      <c r="AB54" s="37">
        <f>_xlfn.XLOOKUP(Baukon[[#This Row],[LCA Datensatz]],LeitRess_Materialien[Material_UUID],LeitRess_Materialien[RMI '[kg Primärrohstoffe / kg']])*Baukon[[#This Row],[Masse '[kg/m²'] min]]</f>
        <v>6.1319054851417825</v>
      </c>
      <c r="AC54" s="37">
        <f>_xlfn.XLOOKUP(Baukon[[#This Row],[LCA Datensatz]],LeitRess_Materialien[Material_UUID],LeitRess_Materialien[RMI '[kg Primärrohstoffe / kg']])*Baukon[[#This Row],[Masse '[kg/m²'] max]]</f>
        <v>15.32976371285446</v>
      </c>
      <c r="AD54" s="37">
        <f>_xlfn.XLOOKUP(Baukon[[#This Row],[LCA Datensatz]],LeitRess_Materialien[Material_UUID],LeitRess_Materialien[TMR '[kg Gesamtmaterialaufwand/kg']])*Baukon[[#This Row],[Masse '[kg/m²'] Referenz]]</f>
        <v>11.162131186786267</v>
      </c>
      <c r="AE54" s="37">
        <f>_xlfn.XLOOKUP(Baukon[[#This Row],[LCA Datensatz]],LeitRess_Materialien[Material_UUID],LeitRess_Materialien[TMR '[kg Gesamtmaterialaufwand/kg']])*Baukon[[#This Row],[Masse '[kg/m²'] min]]</f>
        <v>7.4414207911908452</v>
      </c>
      <c r="AF54" s="37">
        <f>_xlfn.XLOOKUP(Baukon[[#This Row],[LCA Datensatz]],LeitRess_Materialien[Material_UUID],LeitRess_Materialien[TMR '[kg Gesamtmaterialaufwand/kg']])*Baukon[[#This Row],[Masse '[kg/m²'] max]]</f>
        <v>18.603551977977116</v>
      </c>
      <c r="AG54" s="37">
        <f>_xlfn.XLOOKUP(Baukon[[#This Row],[LCA Datensatz]],LeitRess_Materialien[Material_UUID],LeitRess_Materialien[GWP '[kg CO2-Äqu./kg']])*Baukon[[#This Row],[Masse '[kg/m²'] Referenz]]</f>
        <v>4.7244625568276755</v>
      </c>
      <c r="AH54" s="37">
        <f>_xlfn.XLOOKUP(Baukon[[#This Row],[LCA Datensatz]],LeitRess_Materialien[Material_UUID],LeitRess_Materialien[GWP '[kg CO2-Äqu./kg']])*Baukon[[#This Row],[Masse '[kg/m²'] min]]</f>
        <v>3.1496417045517835</v>
      </c>
      <c r="AI54" s="37">
        <f>_xlfn.XLOOKUP(Baukon[[#This Row],[LCA Datensatz]],LeitRess_Materialien[Material_UUID],LeitRess_Materialien[GWP '[kg CO2-Äqu./kg']])*Baukon[[#This Row],[Masse '[kg/m²'] max]]</f>
        <v>7.8741042613794603</v>
      </c>
      <c r="AJ54" s="37">
        <f>_xlfn.XLOOKUP(Baukon[[#This Row],[LCA Datensatz]],LeitRess_Materialien[Material_UUID],LeitRess_Materialien[PENRT '[MJ/kg']])*Baukon[[#This Row],[Masse '[kg/m²'] Referenz]]</f>
        <v>101.54309060570509</v>
      </c>
      <c r="AK54" s="37">
        <f>_xlfn.XLOOKUP(Baukon[[#This Row],[LCA Datensatz]],LeitRess_Materialien[Material_UUID],LeitRess_Materialien[PENRT '[MJ/kg']])*Baukon[[#This Row],[Masse '[kg/m²'] min]]</f>
        <v>67.695393737136726</v>
      </c>
      <c r="AL54" s="37">
        <f>_xlfn.XLOOKUP(Baukon[[#This Row],[LCA Datensatz]],LeitRess_Materialien[Material_UUID],LeitRess_Materialien[PENRT '[MJ/kg']])*Baukon[[#This Row],[Masse '[kg/m²'] max]]</f>
        <v>169.23848434284184</v>
      </c>
      <c r="AM54" s="37" t="e">
        <f>_xlfn.XLOOKUP(Baukon[[#This Row],[LCA Datensatz]],LeitRess_Materialien[Material_UUID],#REF!)*Baukon[[#This Row],[Masse '[kg/m²'] Referenz]]</f>
        <v>#REF!</v>
      </c>
      <c r="AN54" s="37" t="e">
        <f>_xlfn.XLOOKUP(Baukon[[#This Row],[LCA Datensatz]],LeitRess_Materialien[Material_UUID],#REF!)*Baukon[[#This Row],[Masse '[kg/m²'] min]]</f>
        <v>#REF!</v>
      </c>
      <c r="AO54" s="37" t="e">
        <f>_xlfn.XLOOKUP(Baukon[[#This Row],[LCA Datensatz]],LeitRess_Materialien[Material_UUID],#REF!)*Baukon[[#This Row],[Masse '[kg/m²'] max]]</f>
        <v>#REF!</v>
      </c>
      <c r="AP54" s="37">
        <f>_xlfn.XLOOKUP(Baukon[[#This Row],[LCA Datensatz]],LeitRess_Materialien[Material_UUID],LeitRess_Materialien[WDP '[m³ weighted water/kg']])*Baukon[[#This Row],[Masse '[kg/m²'] Referenz]]</f>
        <v>5.1724686301591962</v>
      </c>
      <c r="AQ54" s="37">
        <f>_xlfn.XLOOKUP(Baukon[[#This Row],[LCA Datensatz]],LeitRess_Materialien[Material_UUID],LeitRess_Materialien[WDP '[m³ weighted water/kg']])*Baukon[[#This Row],[Masse '[kg/m²'] min]]</f>
        <v>3.4483124201061308</v>
      </c>
      <c r="AR54" s="37">
        <f>_xlfn.XLOOKUP(Baukon[[#This Row],[LCA Datensatz]],LeitRess_Materialien[Material_UUID],LeitRess_Materialien[WDP '[m³ weighted water/kg']])*Baukon[[#This Row],[Masse '[kg/m²'] max]]</f>
        <v>8.6207810502653288</v>
      </c>
      <c r="AS54" s="39">
        <f>Baukon[[#This Row],[GWP '[kg CO2-Äqu./m²'] Referenz]]/'Ausgabe Tabellen'!$C$21+Baukon[[#This Row],[PENRT '[MJ/m²'] Referenz]]/'Ausgabe Tabellen'!$C$22+Baukon[[#This Row],[RMI '[kg Primärrohstoffe/m²'] Referenz]]/'Ausgabe Tabellen'!$C$23+Baukon[[#This Row],[WDP '[m² weighted water/m²'] Referenz]]/'Ausgabe Tabellen'!$C$24</f>
        <v>1.8640233814814628E-3</v>
      </c>
      <c r="AT54" s="39">
        <f>Baukon[[#This Row],[GWP '[kg CO2-Äqu./m²'] min]]/'Ausgabe Tabellen'!$C$21+Baukon[[#This Row],[PENRT '[MJ/m²'] min]]/'Ausgabe Tabellen'!$C$22+Baukon[[#This Row],[RMI '[kg Primärrohstoffe/m²'] min]]/'Ausgabe Tabellen'!$C$23+Baukon[[#This Row],[WDP '[m² weighted water/m²'] min]]/'Ausgabe Tabellen'!$C$24</f>
        <v>1.242682254320975E-3</v>
      </c>
      <c r="AU54" s="39">
        <f>Baukon[[#This Row],[GWP '[kg CO2-Äqu./m²'] max]]/'Ausgabe Tabellen'!$C$21+Baukon[[#This Row],[PENRT '[MJ/m²'] max]]/'Ausgabe Tabellen'!$C$22+Baukon[[#This Row],[RMI '[kg Primärrohstoffe/m²'] max]]/'Ausgabe Tabellen'!$C$23+Baukon[[#This Row],[WDP '[m² weighted water/m²'] max]]/'Ausgabe Tabellen'!$C$24</f>
        <v>3.106705635802438E-3</v>
      </c>
    </row>
    <row r="55" spans="1:47" s="24" customFormat="1" ht="15.75" x14ac:dyDescent="0.5">
      <c r="A55" s="36" t="s">
        <v>87</v>
      </c>
      <c r="B55" s="36" t="s">
        <v>325</v>
      </c>
      <c r="C55" s="36">
        <v>7</v>
      </c>
      <c r="D55" s="36" t="s">
        <v>312</v>
      </c>
      <c r="E55" s="36" t="str">
        <f>Baukon[[#This Row],[Variante Nummer]]&amp;". "&amp;Baukon[[#This Row],[Name Baukonstruktion]]&amp;" | " &amp;Baukon[[#This Row],[Variante Name]]</f>
        <v>7. Holzrahmenbau - Holzständerbauweise (HSB) | Referenz MiWo</v>
      </c>
      <c r="F55" s="36" t="s">
        <v>334</v>
      </c>
      <c r="G55" s="36" t="s">
        <v>272</v>
      </c>
      <c r="H55" s="36" t="s">
        <v>225</v>
      </c>
      <c r="I55" s="41">
        <v>18</v>
      </c>
      <c r="J55" s="36">
        <f>IF(Baukon[[#This Row],[Material ist Dämmstoff?]]="ja",Baukon[[#This Row],[Dicke '[mm'] Referenz]]+_xlfn.XLOOKUP(RIGHT(Baukon[[#Headers],[Dicke '[mm'] min]],3),Dämmstoffvarianten[Variante],Dämmstoffvarianten[Differenz Dämmstoffedicke zu Referenz '[mm']]),Baukon[[#This Row],[Dicke '[mm'] Referenz]])</f>
        <v>18</v>
      </c>
      <c r="K55" s="36">
        <f>IF(Baukon[[#This Row],[Material ist Dämmstoff?]]="ja",Baukon[[#This Row],[Dicke '[mm'] Referenz]]+_xlfn.XLOOKUP(RIGHT(Baukon[[#Headers],[Dicke '[mm'] max]],3),Dämmstoffvarianten[Variante],Dämmstoffvarianten[Differenz Dämmstoffedicke zu Referenz '[mm']]),Baukon[[#This Row],[Dicke '[mm'] Referenz]])</f>
        <v>18</v>
      </c>
      <c r="L55" s="43">
        <v>1</v>
      </c>
      <c r="M55" s="41"/>
      <c r="N55" s="103">
        <f>IFERROR(Baukon[[#This Row],[Dicke '[mm'] Referenz]]/1000*Baukon[[#This Row],[Flächenanteil '[%']]],"")</f>
        <v>1.7999999999999999E-2</v>
      </c>
      <c r="O55" s="103">
        <f>IFERROR(Baukon[[#This Row],[Dicke '[mm'] min]]/1000*Baukon[[#This Row],[Flächenanteil '[%']]],"")</f>
        <v>1.7999999999999999E-2</v>
      </c>
      <c r="P55" s="103">
        <f>IFERROR(Baukon[[#This Row],[Dicke '[mm'] max]]/1000*Baukon[[#This Row],[Flächenanteil '[%']]],"")</f>
        <v>1.7999999999999999E-2</v>
      </c>
      <c r="Q55"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2.7136799999999996</v>
      </c>
      <c r="R55"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2.7136799999999996</v>
      </c>
      <c r="S55"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2.7136799999999996</v>
      </c>
      <c r="T55" s="42" t="s">
        <v>226</v>
      </c>
      <c r="U55" s="103" t="str">
        <f>_xlfn.XLOOKUP(Baukon[[#This Row],[Material]],LeitRess_Materialien[Name],LeitRess_Materialien[Material_UUID])</f>
        <v>51a420d8-6366-4e14-83db-ecfe0721774d</v>
      </c>
      <c r="V55" s="42">
        <f>_xlfn.XLOOKUP(Baukon[[#This Row],[LCA Datensatz]],LeitRess_Materialien[Material_UUID],LeitRess_Materialien[Rohdichte_'[kg/m3']])</f>
        <v>150.76</v>
      </c>
      <c r="W55" s="42">
        <f>_xlfn.XLOOKUP(Baukon[[#This Row],[LCA Datensatz]],LeitRess_Materialien[Material_UUID],LeitRess_Materialien[Flächengewicht_'[kg/m2']])</f>
        <v>0</v>
      </c>
      <c r="X55" s="104">
        <f>_xlfn.XLOOKUP(Baukon[[#This Row],[LCA Datensatz]],LeitRess_Materialien[Material_UUID],LeitRess_Materialien[Längengewicht_'[kg/m']])</f>
        <v>0</v>
      </c>
      <c r="Y55" s="104">
        <f>_xlfn.XLOOKUP(Baukon[[#This Row],[LCA Datensatz]],LeitRess_Materialien[Material_UUID],LeitRess_Materialien[lambda_'[W/mK']])</f>
        <v>3.2000000000000001E-2</v>
      </c>
      <c r="Z55" s="103">
        <f>IFERROR(Baukon[[#This Row],[Dicke '[mm'] Referenz]]/Baukon[[#This Row],[lambda_'[W/mK']]],"")</f>
        <v>562.5</v>
      </c>
      <c r="AA55" s="37">
        <f>_xlfn.XLOOKUP(Baukon[[#This Row],[LCA Datensatz]],LeitRess_Materialien[Material_UUID],LeitRess_Materialien[RMI '[kg Primärrohstoffe / kg']])*Baukon[[#This Row],[Masse '[kg/m²'] Referenz]]</f>
        <v>4.2322772641023754</v>
      </c>
      <c r="AB55" s="37">
        <f>_xlfn.XLOOKUP(Baukon[[#This Row],[LCA Datensatz]],LeitRess_Materialien[Material_UUID],LeitRess_Materialien[RMI '[kg Primärrohstoffe / kg']])*Baukon[[#This Row],[Masse '[kg/m²'] min]]</f>
        <v>4.2322772641023754</v>
      </c>
      <c r="AC55" s="37">
        <f>_xlfn.XLOOKUP(Baukon[[#This Row],[LCA Datensatz]],LeitRess_Materialien[Material_UUID],LeitRess_Materialien[RMI '[kg Primärrohstoffe / kg']])*Baukon[[#This Row],[Masse '[kg/m²'] max]]</f>
        <v>4.2322772641023754</v>
      </c>
      <c r="AD55" s="37">
        <f>_xlfn.XLOOKUP(Baukon[[#This Row],[LCA Datensatz]],LeitRess_Materialien[Material_UUID],LeitRess_Materialien[TMR '[kg Gesamtmaterialaufwand/kg']])*Baukon[[#This Row],[Masse '[kg/m²'] Referenz]]</f>
        <v>5.0878934799802336</v>
      </c>
      <c r="AE55" s="37">
        <f>_xlfn.XLOOKUP(Baukon[[#This Row],[LCA Datensatz]],LeitRess_Materialien[Material_UUID],LeitRess_Materialien[TMR '[kg Gesamtmaterialaufwand/kg']])*Baukon[[#This Row],[Masse '[kg/m²'] min]]</f>
        <v>5.0878934799802336</v>
      </c>
      <c r="AF55" s="37">
        <f>_xlfn.XLOOKUP(Baukon[[#This Row],[LCA Datensatz]],LeitRess_Materialien[Material_UUID],LeitRess_Materialien[TMR '[kg Gesamtmaterialaufwand/kg']])*Baukon[[#This Row],[Masse '[kg/m²'] max]]</f>
        <v>5.0878934799802336</v>
      </c>
      <c r="AG55" s="37">
        <f>_xlfn.XLOOKUP(Baukon[[#This Row],[LCA Datensatz]],LeitRess_Materialien[Material_UUID],LeitRess_Materialien[GWP '[kg CO2-Äqu./kg']])*Baukon[[#This Row],[Masse '[kg/m²'] Referenz]]</f>
        <v>2.5463115040641155</v>
      </c>
      <c r="AH55" s="37">
        <f>_xlfn.XLOOKUP(Baukon[[#This Row],[LCA Datensatz]],LeitRess_Materialien[Material_UUID],LeitRess_Materialien[GWP '[kg CO2-Äqu./kg']])*Baukon[[#This Row],[Masse '[kg/m²'] min]]</f>
        <v>2.5463115040641155</v>
      </c>
      <c r="AI55" s="37">
        <f>_xlfn.XLOOKUP(Baukon[[#This Row],[LCA Datensatz]],LeitRess_Materialien[Material_UUID],LeitRess_Materialien[GWP '[kg CO2-Äqu./kg']])*Baukon[[#This Row],[Masse '[kg/m²'] max]]</f>
        <v>2.5463115040641155</v>
      </c>
      <c r="AJ55" s="37">
        <f>_xlfn.XLOOKUP(Baukon[[#This Row],[LCA Datensatz]],LeitRess_Materialien[Material_UUID],LeitRess_Materialien[PENRT '[MJ/kg']])*Baukon[[#This Row],[Masse '[kg/m²'] Referenz]]</f>
        <v>43.32657921182188</v>
      </c>
      <c r="AK55" s="37">
        <f>_xlfn.XLOOKUP(Baukon[[#This Row],[LCA Datensatz]],LeitRess_Materialien[Material_UUID],LeitRess_Materialien[PENRT '[MJ/kg']])*Baukon[[#This Row],[Masse '[kg/m²'] min]]</f>
        <v>43.32657921182188</v>
      </c>
      <c r="AL55" s="37">
        <f>_xlfn.XLOOKUP(Baukon[[#This Row],[LCA Datensatz]],LeitRess_Materialien[Material_UUID],LeitRess_Materialien[PENRT '[MJ/kg']])*Baukon[[#This Row],[Masse '[kg/m²'] max]]</f>
        <v>43.32657921182188</v>
      </c>
      <c r="AM55" s="37" t="e">
        <f>_xlfn.XLOOKUP(Baukon[[#This Row],[LCA Datensatz]],LeitRess_Materialien[Material_UUID],#REF!)*Baukon[[#This Row],[Masse '[kg/m²'] Referenz]]</f>
        <v>#REF!</v>
      </c>
      <c r="AN55" s="37" t="e">
        <f>_xlfn.XLOOKUP(Baukon[[#This Row],[LCA Datensatz]],LeitRess_Materialien[Material_UUID],#REF!)*Baukon[[#This Row],[Masse '[kg/m²'] min]]</f>
        <v>#REF!</v>
      </c>
      <c r="AO55" s="37" t="e">
        <f>_xlfn.XLOOKUP(Baukon[[#This Row],[LCA Datensatz]],LeitRess_Materialien[Material_UUID],#REF!)*Baukon[[#This Row],[Masse '[kg/m²'] max]]</f>
        <v>#REF!</v>
      </c>
      <c r="AP55" s="37">
        <f>_xlfn.XLOOKUP(Baukon[[#This Row],[LCA Datensatz]],LeitRess_Materialien[Material_UUID],LeitRess_Materialien[WDP '[m³ weighted water/kg']])*Baukon[[#This Row],[Masse '[kg/m²'] Referenz]]</f>
        <v>1.7389461468424889</v>
      </c>
      <c r="AQ55" s="37">
        <f>_xlfn.XLOOKUP(Baukon[[#This Row],[LCA Datensatz]],LeitRess_Materialien[Material_UUID],LeitRess_Materialien[WDP '[m³ weighted water/kg']])*Baukon[[#This Row],[Masse '[kg/m²'] min]]</f>
        <v>1.7389461468424889</v>
      </c>
      <c r="AR55" s="37">
        <f>_xlfn.XLOOKUP(Baukon[[#This Row],[LCA Datensatz]],LeitRess_Materialien[Material_UUID],LeitRess_Materialien[WDP '[m³ weighted water/kg']])*Baukon[[#This Row],[Masse '[kg/m²'] max]]</f>
        <v>1.7389461468424889</v>
      </c>
      <c r="AS55" s="39">
        <f>Baukon[[#This Row],[GWP '[kg CO2-Äqu./m²'] Referenz]]/'Ausgabe Tabellen'!$C$21+Baukon[[#This Row],[PENRT '[MJ/m²'] Referenz]]/'Ausgabe Tabellen'!$C$22+Baukon[[#This Row],[RMI '[kg Primärrohstoffe/m²'] Referenz]]/'Ausgabe Tabellen'!$C$23+Baukon[[#This Row],[WDP '[m² weighted water/m²'] Referenz]]/'Ausgabe Tabellen'!$C$24</f>
        <v>8.1057937491179309E-4</v>
      </c>
      <c r="AT55" s="39">
        <f>Baukon[[#This Row],[GWP '[kg CO2-Äqu./m²'] min]]/'Ausgabe Tabellen'!$C$21+Baukon[[#This Row],[PENRT '[MJ/m²'] min]]/'Ausgabe Tabellen'!$C$22+Baukon[[#This Row],[RMI '[kg Primärrohstoffe/m²'] min]]/'Ausgabe Tabellen'!$C$23+Baukon[[#This Row],[WDP '[m² weighted water/m²'] min]]/'Ausgabe Tabellen'!$C$24</f>
        <v>8.1057937491179309E-4</v>
      </c>
      <c r="AU55" s="39">
        <f>Baukon[[#This Row],[GWP '[kg CO2-Äqu./m²'] max]]/'Ausgabe Tabellen'!$C$21+Baukon[[#This Row],[PENRT '[MJ/m²'] max]]/'Ausgabe Tabellen'!$C$22+Baukon[[#This Row],[RMI '[kg Primärrohstoffe/m²'] max]]/'Ausgabe Tabellen'!$C$23+Baukon[[#This Row],[WDP '[m² weighted water/m²'] max]]/'Ausgabe Tabellen'!$C$24</f>
        <v>8.1057937491179309E-4</v>
      </c>
    </row>
    <row r="56" spans="1:47" s="24" customFormat="1" ht="15.75" x14ac:dyDescent="0.5">
      <c r="A56" s="36" t="s">
        <v>87</v>
      </c>
      <c r="B56" s="36" t="s">
        <v>325</v>
      </c>
      <c r="C56" s="36">
        <v>8</v>
      </c>
      <c r="D56" s="36" t="s">
        <v>275</v>
      </c>
      <c r="E56" s="36" t="str">
        <f>Baukon[[#This Row],[Variante Nummer]]&amp;". "&amp;Baukon[[#This Row],[Name Baukonstruktion]]&amp;" | " &amp;Baukon[[#This Row],[Variante Name]]</f>
        <v>8. Holzrahmenbau - Holzständerbauweise (HSB) | Stroh</v>
      </c>
      <c r="F56" s="36" t="s">
        <v>324</v>
      </c>
      <c r="G56" s="36" t="s">
        <v>240</v>
      </c>
      <c r="H56" s="36" t="s">
        <v>225</v>
      </c>
      <c r="I56" s="41" t="s">
        <v>498</v>
      </c>
      <c r="J56" s="36" t="str">
        <f>IF(Baukon[[#This Row],[Material ist Dämmstoff?]]="ja",Baukon[[#This Row],[Dicke '[mm'] Referenz]]+_xlfn.XLOOKUP(RIGHT(Baukon[[#Headers],[Dicke '[mm'] min]],3),Dämmstoffvarianten[Variante],Dämmstoffvarianten[Differenz Dämmstoffedicke zu Referenz '[mm']]),Baukon[[#This Row],[Dicke '[mm'] Referenz]])</f>
        <v>12,5</v>
      </c>
      <c r="K56" s="36" t="str">
        <f>IF(Baukon[[#This Row],[Material ist Dämmstoff?]]="ja",Baukon[[#This Row],[Dicke '[mm'] Referenz]]+_xlfn.XLOOKUP(RIGHT(Baukon[[#Headers],[Dicke '[mm'] max]],3),Dämmstoffvarianten[Variante],Dämmstoffvarianten[Differenz Dämmstoffedicke zu Referenz '[mm']]),Baukon[[#This Row],[Dicke '[mm'] Referenz]])</f>
        <v>12,5</v>
      </c>
      <c r="L56" s="43">
        <v>1</v>
      </c>
      <c r="M56" s="41"/>
      <c r="N56" s="103">
        <f>IFERROR(Baukon[[#This Row],[Dicke '[mm'] Referenz]]/1000*Baukon[[#This Row],[Flächenanteil '[%']]],"")</f>
        <v>1.2500000000000001E-2</v>
      </c>
      <c r="O56" s="103">
        <f>IFERROR(Baukon[[#This Row],[Dicke '[mm'] min]]/1000*Baukon[[#This Row],[Flächenanteil '[%']]],"")</f>
        <v>1.2500000000000001E-2</v>
      </c>
      <c r="P56" s="103">
        <f>IFERROR(Baukon[[#This Row],[Dicke '[mm'] max]]/1000*Baukon[[#This Row],[Flächenanteil '[%']]],"")</f>
        <v>1.2500000000000001E-2</v>
      </c>
      <c r="Q56"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10</v>
      </c>
      <c r="R56"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10</v>
      </c>
      <c r="S56"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10</v>
      </c>
      <c r="T56" s="42" t="s">
        <v>226</v>
      </c>
      <c r="U56" s="103" t="str">
        <f>_xlfn.XLOOKUP(Baukon[[#This Row],[Material]],LeitRess_Materialien[Name],LeitRess_Materialien[Material_UUID])</f>
        <v>07423e99-8c7c-4e93-8311-dcf7ae85c41d</v>
      </c>
      <c r="V56" s="42">
        <f>_xlfn.XLOOKUP(Baukon[[#This Row],[LCA Datensatz]],LeitRess_Materialien[Material_UUID],LeitRess_Materialien[Rohdichte_'[kg/m3']])</f>
        <v>800</v>
      </c>
      <c r="W56" s="42">
        <f>_xlfn.XLOOKUP(Baukon[[#This Row],[LCA Datensatz]],LeitRess_Materialien[Material_UUID],LeitRess_Materialien[Flächengewicht_'[kg/m2']])</f>
        <v>10</v>
      </c>
      <c r="X56" s="104">
        <f>_xlfn.XLOOKUP(Baukon[[#This Row],[LCA Datensatz]],LeitRess_Materialien[Material_UUID],LeitRess_Materialien[Längengewicht_'[kg/m']])</f>
        <v>0</v>
      </c>
      <c r="Y56" s="104">
        <f>_xlfn.XLOOKUP(Baukon[[#This Row],[LCA Datensatz]],LeitRess_Materialien[Material_UUID],LeitRess_Materialien[lambda_'[W/mK']])</f>
        <v>0.2</v>
      </c>
      <c r="Z56" s="103">
        <f>IFERROR(Baukon[[#This Row],[Dicke '[mm'] Referenz]]/Baukon[[#This Row],[lambda_'[W/mK']]],"")</f>
        <v>62.5</v>
      </c>
      <c r="AA56" s="37">
        <f>_xlfn.XLOOKUP(Baukon[[#This Row],[LCA Datensatz]],LeitRess_Materialien[Material_UUID],LeitRess_Materialien[RMI '[kg Primärrohstoffe / kg']])*Baukon[[#This Row],[Masse '[kg/m²'] Referenz]]</f>
        <v>9.6885190926662101</v>
      </c>
      <c r="AB56" s="37">
        <f>_xlfn.XLOOKUP(Baukon[[#This Row],[LCA Datensatz]],LeitRess_Materialien[Material_UUID],LeitRess_Materialien[RMI '[kg Primärrohstoffe / kg']])*Baukon[[#This Row],[Masse '[kg/m²'] min]]</f>
        <v>9.6885190926662101</v>
      </c>
      <c r="AC56" s="37">
        <f>_xlfn.XLOOKUP(Baukon[[#This Row],[LCA Datensatz]],LeitRess_Materialien[Material_UUID],LeitRess_Materialien[RMI '[kg Primärrohstoffe / kg']])*Baukon[[#This Row],[Masse '[kg/m²'] max]]</f>
        <v>9.6885190926662101</v>
      </c>
      <c r="AD56" s="37">
        <f>_xlfn.XLOOKUP(Baukon[[#This Row],[LCA Datensatz]],LeitRess_Materialien[Material_UUID],LeitRess_Materialien[TMR '[kg Gesamtmaterialaufwand/kg']])*Baukon[[#This Row],[Masse '[kg/m²'] Referenz]]</f>
        <v>10.504992021872901</v>
      </c>
      <c r="AE56" s="37">
        <f>_xlfn.XLOOKUP(Baukon[[#This Row],[LCA Datensatz]],LeitRess_Materialien[Material_UUID],LeitRess_Materialien[TMR '[kg Gesamtmaterialaufwand/kg']])*Baukon[[#This Row],[Masse '[kg/m²'] min]]</f>
        <v>10.504992021872901</v>
      </c>
      <c r="AF56" s="37">
        <f>_xlfn.XLOOKUP(Baukon[[#This Row],[LCA Datensatz]],LeitRess_Materialien[Material_UUID],LeitRess_Materialien[TMR '[kg Gesamtmaterialaufwand/kg']])*Baukon[[#This Row],[Masse '[kg/m²'] max]]</f>
        <v>10.504992021872901</v>
      </c>
      <c r="AG56" s="37">
        <f>_xlfn.XLOOKUP(Baukon[[#This Row],[LCA Datensatz]],LeitRess_Materialien[Material_UUID],LeitRess_Materialien[GWP '[kg CO2-Äqu./kg']])*Baukon[[#This Row],[Masse '[kg/m²'] Referenz]]</f>
        <v>2.5140556386449697</v>
      </c>
      <c r="AH56" s="37">
        <f>_xlfn.XLOOKUP(Baukon[[#This Row],[LCA Datensatz]],LeitRess_Materialien[Material_UUID],LeitRess_Materialien[GWP '[kg CO2-Äqu./kg']])*Baukon[[#This Row],[Masse '[kg/m²'] min]]</f>
        <v>2.5140556386449697</v>
      </c>
      <c r="AI56" s="37">
        <f>_xlfn.XLOOKUP(Baukon[[#This Row],[LCA Datensatz]],LeitRess_Materialien[Material_UUID],LeitRess_Materialien[GWP '[kg CO2-Äqu./kg']])*Baukon[[#This Row],[Masse '[kg/m²'] max]]</f>
        <v>2.5140556386449697</v>
      </c>
      <c r="AJ56" s="37">
        <f>_xlfn.XLOOKUP(Baukon[[#This Row],[LCA Datensatz]],LeitRess_Materialien[Material_UUID],LeitRess_Materialien[PENRT '[MJ/kg']])*Baukon[[#This Row],[Masse '[kg/m²'] Referenz]]</f>
        <v>38.560990916917703</v>
      </c>
      <c r="AK56" s="37">
        <f>_xlfn.XLOOKUP(Baukon[[#This Row],[LCA Datensatz]],LeitRess_Materialien[Material_UUID],LeitRess_Materialien[PENRT '[MJ/kg']])*Baukon[[#This Row],[Masse '[kg/m²'] min]]</f>
        <v>38.560990916917703</v>
      </c>
      <c r="AL56" s="37">
        <f>_xlfn.XLOOKUP(Baukon[[#This Row],[LCA Datensatz]],LeitRess_Materialien[Material_UUID],LeitRess_Materialien[PENRT '[MJ/kg']])*Baukon[[#This Row],[Masse '[kg/m²'] max]]</f>
        <v>38.560990916917703</v>
      </c>
      <c r="AM56" s="37" t="e">
        <f>_xlfn.XLOOKUP(Baukon[[#This Row],[LCA Datensatz]],LeitRess_Materialien[Material_UUID],#REF!)*Baukon[[#This Row],[Masse '[kg/m²'] Referenz]]</f>
        <v>#REF!</v>
      </c>
      <c r="AN56" s="37" t="e">
        <f>_xlfn.XLOOKUP(Baukon[[#This Row],[LCA Datensatz]],LeitRess_Materialien[Material_UUID],#REF!)*Baukon[[#This Row],[Masse '[kg/m²'] min]]</f>
        <v>#REF!</v>
      </c>
      <c r="AO56" s="37" t="e">
        <f>_xlfn.XLOOKUP(Baukon[[#This Row],[LCA Datensatz]],LeitRess_Materialien[Material_UUID],#REF!)*Baukon[[#This Row],[Masse '[kg/m²'] max]]</f>
        <v>#REF!</v>
      </c>
      <c r="AP56" s="37">
        <f>_xlfn.XLOOKUP(Baukon[[#This Row],[LCA Datensatz]],LeitRess_Materialien[Material_UUID],LeitRess_Materialien[WDP '[m³ weighted water/kg']])*Baukon[[#This Row],[Masse '[kg/m²'] Referenz]]</f>
        <v>1.2506783392176499</v>
      </c>
      <c r="AQ56" s="37">
        <f>_xlfn.XLOOKUP(Baukon[[#This Row],[LCA Datensatz]],LeitRess_Materialien[Material_UUID],LeitRess_Materialien[WDP '[m³ weighted water/kg']])*Baukon[[#This Row],[Masse '[kg/m²'] min]]</f>
        <v>1.2506783392176499</v>
      </c>
      <c r="AR56" s="37">
        <f>_xlfn.XLOOKUP(Baukon[[#This Row],[LCA Datensatz]],LeitRess_Materialien[Material_UUID],LeitRess_Materialien[WDP '[m³ weighted water/kg']])*Baukon[[#This Row],[Masse '[kg/m²'] max]]</f>
        <v>1.2506783392176499</v>
      </c>
      <c r="AS56" s="39">
        <f>Baukon[[#This Row],[GWP '[kg CO2-Äqu./m²'] Referenz]]/'Ausgabe Tabellen'!$C$21+Baukon[[#This Row],[PENRT '[MJ/m²'] Referenz]]/'Ausgabe Tabellen'!$C$22+Baukon[[#This Row],[RMI '[kg Primärrohstoffe/m²'] Referenz]]/'Ausgabe Tabellen'!$C$23+Baukon[[#This Row],[WDP '[m² weighted water/m²'] Referenz]]/'Ausgabe Tabellen'!$C$24</f>
        <v>8.7990794098609262E-4</v>
      </c>
      <c r="AT56" s="39">
        <f>Baukon[[#This Row],[GWP '[kg CO2-Äqu./m²'] min]]/'Ausgabe Tabellen'!$C$21+Baukon[[#This Row],[PENRT '[MJ/m²'] min]]/'Ausgabe Tabellen'!$C$22+Baukon[[#This Row],[RMI '[kg Primärrohstoffe/m²'] min]]/'Ausgabe Tabellen'!$C$23+Baukon[[#This Row],[WDP '[m² weighted water/m²'] min]]/'Ausgabe Tabellen'!$C$24</f>
        <v>8.7990794098609262E-4</v>
      </c>
      <c r="AU56" s="39">
        <f>Baukon[[#This Row],[GWP '[kg CO2-Äqu./m²'] max]]/'Ausgabe Tabellen'!$C$21+Baukon[[#This Row],[PENRT '[MJ/m²'] max]]/'Ausgabe Tabellen'!$C$22+Baukon[[#This Row],[RMI '[kg Primärrohstoffe/m²'] max]]/'Ausgabe Tabellen'!$C$23+Baukon[[#This Row],[WDP '[m² weighted water/m²'] max]]/'Ausgabe Tabellen'!$C$24</f>
        <v>8.7990794098609262E-4</v>
      </c>
    </row>
    <row r="57" spans="1:47" s="24" customFormat="1" ht="15.75" x14ac:dyDescent="0.5">
      <c r="A57" s="36" t="s">
        <v>87</v>
      </c>
      <c r="B57" s="36" t="s">
        <v>325</v>
      </c>
      <c r="C57" s="36">
        <v>8</v>
      </c>
      <c r="D57" s="36" t="s">
        <v>275</v>
      </c>
      <c r="E57" s="36" t="str">
        <f>Baukon[[#This Row],[Variante Nummer]]&amp;". "&amp;Baukon[[#This Row],[Name Baukonstruktion]]&amp;" | " &amp;Baukon[[#This Row],[Variante Name]]</f>
        <v>8. Holzrahmenbau - Holzständerbauweise (HSB) | Stroh</v>
      </c>
      <c r="F57" s="36" t="s">
        <v>243</v>
      </c>
      <c r="G57" s="36" t="s">
        <v>243</v>
      </c>
      <c r="H57" s="36" t="s">
        <v>225</v>
      </c>
      <c r="I57" s="41">
        <v>240</v>
      </c>
      <c r="J57" s="36">
        <f>IF(Baukon[[#This Row],[Material ist Dämmstoff?]]="ja",Baukon[[#This Row],[Dicke '[mm'] Referenz]]+_xlfn.XLOOKUP(RIGHT(Baukon[[#Headers],[Dicke '[mm'] min]],3),Dämmstoffvarianten[Variante],Dämmstoffvarianten[Differenz Dämmstoffedicke zu Referenz '[mm']]),Baukon[[#This Row],[Dicke '[mm'] Referenz]])</f>
        <v>240</v>
      </c>
      <c r="K57" s="36">
        <f>IF(Baukon[[#This Row],[Material ist Dämmstoff?]]="ja",Baukon[[#This Row],[Dicke '[mm'] Referenz]]+_xlfn.XLOOKUP(RIGHT(Baukon[[#Headers],[Dicke '[mm'] max]],3),Dämmstoffvarianten[Variante],Dämmstoffvarianten[Differenz Dämmstoffedicke zu Referenz '[mm']]),Baukon[[#This Row],[Dicke '[mm'] Referenz]])</f>
        <v>240</v>
      </c>
      <c r="L57" s="43">
        <f>1/0.6*0.12</f>
        <v>0.2</v>
      </c>
      <c r="M57" s="41"/>
      <c r="N57" s="103">
        <f>IFERROR(Baukon[[#This Row],[Dicke '[mm'] Referenz]]/1000*Baukon[[#This Row],[Flächenanteil '[%']]],"")</f>
        <v>4.8000000000000001E-2</v>
      </c>
      <c r="O57" s="103">
        <f>IFERROR(Baukon[[#This Row],[Dicke '[mm'] min]]/1000*Baukon[[#This Row],[Flächenanteil '[%']]],"")</f>
        <v>4.8000000000000001E-2</v>
      </c>
      <c r="P57" s="103">
        <f>IFERROR(Baukon[[#This Row],[Dicke '[mm'] max]]/1000*Baukon[[#This Row],[Flächenanteil '[%']]],"")</f>
        <v>4.8000000000000001E-2</v>
      </c>
      <c r="Q57"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23.660160000000001</v>
      </c>
      <c r="R57"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23.660160000000001</v>
      </c>
      <c r="S57"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23.660160000000001</v>
      </c>
      <c r="T57" s="42" t="s">
        <v>445</v>
      </c>
      <c r="U57" s="103" t="str">
        <f>_xlfn.XLOOKUP(Baukon[[#This Row],[Material]],LeitRess_Materialien[Name],LeitRess_Materialien[Material_UUID])</f>
        <v>1a70d292-a82c-42a6-a378-d3cbd9a9af4e</v>
      </c>
      <c r="V57" s="42">
        <f>_xlfn.XLOOKUP(Baukon[[#This Row],[LCA Datensatz]],LeitRess_Materialien[Material_UUID],LeitRess_Materialien[Rohdichte_'[kg/m3']])</f>
        <v>492.92</v>
      </c>
      <c r="W57" s="42">
        <f>_xlfn.XLOOKUP(Baukon[[#This Row],[LCA Datensatz]],LeitRess_Materialien[Material_UUID],LeitRess_Materialien[Flächengewicht_'[kg/m2']])</f>
        <v>0</v>
      </c>
      <c r="X57" s="104">
        <f>_xlfn.XLOOKUP(Baukon[[#This Row],[LCA Datensatz]],LeitRess_Materialien[Material_UUID],LeitRess_Materialien[Längengewicht_'[kg/m']])</f>
        <v>0</v>
      </c>
      <c r="Y57" s="104">
        <f>_xlfn.XLOOKUP(Baukon[[#This Row],[LCA Datensatz]],LeitRess_Materialien[Material_UUID],LeitRess_Materialien[lambda_'[W/mK']])</f>
        <v>0.1</v>
      </c>
      <c r="Z57" s="103">
        <f>IFERROR(Baukon[[#This Row],[Dicke '[mm'] Referenz]]/Baukon[[#This Row],[lambda_'[W/mK']]],"")</f>
        <v>2400</v>
      </c>
      <c r="AA57" s="37">
        <f>_xlfn.XLOOKUP(Baukon[[#This Row],[LCA Datensatz]],LeitRess_Materialien[Material_UUID],LeitRess_Materialien[RMI '[kg Primärrohstoffe / kg']])*Baukon[[#This Row],[Masse '[kg/m²'] Referenz]]</f>
        <v>47.845694476596513</v>
      </c>
      <c r="AB57" s="37">
        <f>_xlfn.XLOOKUP(Baukon[[#This Row],[LCA Datensatz]],LeitRess_Materialien[Material_UUID],LeitRess_Materialien[RMI '[kg Primärrohstoffe / kg']])*Baukon[[#This Row],[Masse '[kg/m²'] min]]</f>
        <v>47.845694476596513</v>
      </c>
      <c r="AC57" s="37">
        <f>_xlfn.XLOOKUP(Baukon[[#This Row],[LCA Datensatz]],LeitRess_Materialien[Material_UUID],LeitRess_Materialien[RMI '[kg Primärrohstoffe / kg']])*Baukon[[#This Row],[Masse '[kg/m²'] max]]</f>
        <v>47.845694476596513</v>
      </c>
      <c r="AD57" s="37">
        <f>_xlfn.XLOOKUP(Baukon[[#This Row],[LCA Datensatz]],LeitRess_Materialien[Material_UUID],LeitRess_Materialien[TMR '[kg Gesamtmaterialaufwand/kg']])*Baukon[[#This Row],[Masse '[kg/m²'] Referenz]]</f>
        <v>55.386491778742197</v>
      </c>
      <c r="AE57" s="37">
        <f>_xlfn.XLOOKUP(Baukon[[#This Row],[LCA Datensatz]],LeitRess_Materialien[Material_UUID],LeitRess_Materialien[TMR '[kg Gesamtmaterialaufwand/kg']])*Baukon[[#This Row],[Masse '[kg/m²'] min]]</f>
        <v>55.386491778742197</v>
      </c>
      <c r="AF57" s="37">
        <f>_xlfn.XLOOKUP(Baukon[[#This Row],[LCA Datensatz]],LeitRess_Materialien[Material_UUID],LeitRess_Materialien[TMR '[kg Gesamtmaterialaufwand/kg']])*Baukon[[#This Row],[Masse '[kg/m²'] max]]</f>
        <v>55.386491778742197</v>
      </c>
      <c r="AG57" s="37">
        <f>_xlfn.XLOOKUP(Baukon[[#This Row],[LCA Datensatz]],LeitRess_Materialien[Material_UUID],LeitRess_Materialien[GWP '[kg CO2-Äqu./kg']])*Baukon[[#This Row],[Masse '[kg/m²'] Referenz]]</f>
        <v>4.9820344172569371</v>
      </c>
      <c r="AH57" s="37">
        <f>_xlfn.XLOOKUP(Baukon[[#This Row],[LCA Datensatz]],LeitRess_Materialien[Material_UUID],LeitRess_Materialien[GWP '[kg CO2-Äqu./kg']])*Baukon[[#This Row],[Masse '[kg/m²'] min]]</f>
        <v>4.9820344172569371</v>
      </c>
      <c r="AI57" s="37">
        <f>_xlfn.XLOOKUP(Baukon[[#This Row],[LCA Datensatz]],LeitRess_Materialien[Material_UUID],LeitRess_Materialien[GWP '[kg CO2-Äqu./kg']])*Baukon[[#This Row],[Masse '[kg/m²'] max]]</f>
        <v>4.9820344172569371</v>
      </c>
      <c r="AJ57" s="37">
        <f>_xlfn.XLOOKUP(Baukon[[#This Row],[LCA Datensatz]],LeitRess_Materialien[Material_UUID],LeitRess_Materialien[PENRT '[MJ/kg']])*Baukon[[#This Row],[Masse '[kg/m²'] Referenz]]</f>
        <v>90.212389325323272</v>
      </c>
      <c r="AK57" s="37">
        <f>_xlfn.XLOOKUP(Baukon[[#This Row],[LCA Datensatz]],LeitRess_Materialien[Material_UUID],LeitRess_Materialien[PENRT '[MJ/kg']])*Baukon[[#This Row],[Masse '[kg/m²'] min]]</f>
        <v>90.212389325323272</v>
      </c>
      <c r="AL57" s="37">
        <f>_xlfn.XLOOKUP(Baukon[[#This Row],[LCA Datensatz]],LeitRess_Materialien[Material_UUID],LeitRess_Materialien[PENRT '[MJ/kg']])*Baukon[[#This Row],[Masse '[kg/m²'] max]]</f>
        <v>90.212389325323272</v>
      </c>
      <c r="AM57" s="37" t="e">
        <f>_xlfn.XLOOKUP(Baukon[[#This Row],[LCA Datensatz]],LeitRess_Materialien[Material_UUID],#REF!)*Baukon[[#This Row],[Masse '[kg/m²'] Referenz]]</f>
        <v>#REF!</v>
      </c>
      <c r="AN57" s="37" t="e">
        <f>_xlfn.XLOOKUP(Baukon[[#This Row],[LCA Datensatz]],LeitRess_Materialien[Material_UUID],#REF!)*Baukon[[#This Row],[Masse '[kg/m²'] min]]</f>
        <v>#REF!</v>
      </c>
      <c r="AO57" s="37" t="e">
        <f>_xlfn.XLOOKUP(Baukon[[#This Row],[LCA Datensatz]],LeitRess_Materialien[Material_UUID],#REF!)*Baukon[[#This Row],[Masse '[kg/m²'] max]]</f>
        <v>#REF!</v>
      </c>
      <c r="AP57" s="37">
        <f>_xlfn.XLOOKUP(Baukon[[#This Row],[LCA Datensatz]],LeitRess_Materialien[Material_UUID],LeitRess_Materialien[WDP '[m³ weighted water/kg']])*Baukon[[#This Row],[Masse '[kg/m²'] Referenz]]</f>
        <v>2.0096043360826177</v>
      </c>
      <c r="AQ57" s="37">
        <f>_xlfn.XLOOKUP(Baukon[[#This Row],[LCA Datensatz]],LeitRess_Materialien[Material_UUID],LeitRess_Materialien[WDP '[m³ weighted water/kg']])*Baukon[[#This Row],[Masse '[kg/m²'] min]]</f>
        <v>2.0096043360826177</v>
      </c>
      <c r="AR57" s="37">
        <f>_xlfn.XLOOKUP(Baukon[[#This Row],[LCA Datensatz]],LeitRess_Materialien[Material_UUID],LeitRess_Materialien[WDP '[m³ weighted water/kg']])*Baukon[[#This Row],[Masse '[kg/m²'] max]]</f>
        <v>2.0096043360826177</v>
      </c>
      <c r="AS57" s="39">
        <f>Baukon[[#This Row],[GWP '[kg CO2-Äqu./m²'] Referenz]]/'Ausgabe Tabellen'!$C$21+Baukon[[#This Row],[PENRT '[MJ/m²'] Referenz]]/'Ausgabe Tabellen'!$C$22+Baukon[[#This Row],[RMI '[kg Primärrohstoffe/m²'] Referenz]]/'Ausgabe Tabellen'!$C$23+Baukon[[#This Row],[WDP '[m² weighted water/m²'] Referenz]]/'Ausgabe Tabellen'!$C$24</f>
        <v>2.5855085267054534E-3</v>
      </c>
      <c r="AT57" s="39">
        <f>Baukon[[#This Row],[GWP '[kg CO2-Äqu./m²'] min]]/'Ausgabe Tabellen'!$C$21+Baukon[[#This Row],[PENRT '[MJ/m²'] min]]/'Ausgabe Tabellen'!$C$22+Baukon[[#This Row],[RMI '[kg Primärrohstoffe/m²'] min]]/'Ausgabe Tabellen'!$C$23+Baukon[[#This Row],[WDP '[m² weighted water/m²'] min]]/'Ausgabe Tabellen'!$C$24</f>
        <v>2.5855085267054534E-3</v>
      </c>
      <c r="AU57" s="39">
        <f>Baukon[[#This Row],[GWP '[kg CO2-Äqu./m²'] max]]/'Ausgabe Tabellen'!$C$21+Baukon[[#This Row],[PENRT '[MJ/m²'] max]]/'Ausgabe Tabellen'!$C$22+Baukon[[#This Row],[RMI '[kg Primärrohstoffe/m²'] max]]/'Ausgabe Tabellen'!$C$23+Baukon[[#This Row],[WDP '[m² weighted water/m²'] max]]/'Ausgabe Tabellen'!$C$24</f>
        <v>2.5855085267054534E-3</v>
      </c>
    </row>
    <row r="58" spans="1:47" s="24" customFormat="1" ht="15.75" x14ac:dyDescent="0.5">
      <c r="A58" s="36" t="s">
        <v>87</v>
      </c>
      <c r="B58" s="36" t="s">
        <v>325</v>
      </c>
      <c r="C58" s="36">
        <v>8</v>
      </c>
      <c r="D58" s="36" t="s">
        <v>275</v>
      </c>
      <c r="E58" s="36" t="str">
        <f>Baukon[[#This Row],[Variante Nummer]]&amp;". "&amp;Baukon[[#This Row],[Name Baukonstruktion]]&amp;" | " &amp;Baukon[[#This Row],[Variante Name]]</f>
        <v>8. Holzrahmenbau - Holzständerbauweise (HSB) | Stroh</v>
      </c>
      <c r="F58" s="36" t="s">
        <v>241</v>
      </c>
      <c r="G58" s="36" t="s">
        <v>275</v>
      </c>
      <c r="H58" s="36" t="s">
        <v>228</v>
      </c>
      <c r="I58" s="41">
        <v>240</v>
      </c>
      <c r="J58" s="36">
        <f>IF(Baukon[[#This Row],[Material ist Dämmstoff?]]="ja",Baukon[[#This Row],[Dicke '[mm'] Referenz]]+_xlfn.XLOOKUP(RIGHT(Baukon[[#Headers],[Dicke '[mm'] min]],3),Dämmstoffvarianten[Variante],Dämmstoffvarianten[Differenz Dämmstoffedicke zu Referenz '[mm']]),Baukon[[#This Row],[Dicke '[mm'] Referenz]])</f>
        <v>200</v>
      </c>
      <c r="K58" s="36">
        <f>IF(Baukon[[#This Row],[Material ist Dämmstoff?]]="ja",Baukon[[#This Row],[Dicke '[mm'] Referenz]]+_xlfn.XLOOKUP(RIGHT(Baukon[[#Headers],[Dicke '[mm'] max]],3),Dämmstoffvarianten[Variante],Dämmstoffvarianten[Differenz Dämmstoffedicke zu Referenz '[mm']]),Baukon[[#This Row],[Dicke '[mm'] Referenz]])</f>
        <v>320</v>
      </c>
      <c r="L58" s="43">
        <f>1-L57</f>
        <v>0.8</v>
      </c>
      <c r="M58" s="41"/>
      <c r="N58" s="103">
        <f>IFERROR(Baukon[[#This Row],[Dicke '[mm'] Referenz]]/1000*Baukon[[#This Row],[Flächenanteil '[%']]],"")</f>
        <v>0.192</v>
      </c>
      <c r="O58" s="103">
        <f>IFERROR(Baukon[[#This Row],[Dicke '[mm'] min]]/1000*Baukon[[#This Row],[Flächenanteil '[%']]],"")</f>
        <v>0.16000000000000003</v>
      </c>
      <c r="P58" s="103">
        <f>IFERROR(Baukon[[#This Row],[Dicke '[mm'] max]]/1000*Baukon[[#This Row],[Flächenanteil '[%']]],"")</f>
        <v>0.25600000000000001</v>
      </c>
      <c r="Q58"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19.2</v>
      </c>
      <c r="R58"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16.000000000000004</v>
      </c>
      <c r="S58"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25.6</v>
      </c>
      <c r="T58" s="42" t="s">
        <v>227</v>
      </c>
      <c r="U58" s="103" t="str">
        <f>_xlfn.XLOOKUP(Baukon[[#This Row],[Material]],LeitRess_Materialien[Name],LeitRess_Materialien[Material_UUID])</f>
        <v>d2d1b29f-8dd7-4373-ab2a-de57acd51e72</v>
      </c>
      <c r="V58" s="42">
        <f>_xlfn.XLOOKUP(Baukon[[#This Row],[LCA Datensatz]],LeitRess_Materialien[Material_UUID],LeitRess_Materialien[Rohdichte_'[kg/m3']])</f>
        <v>100</v>
      </c>
      <c r="W58" s="42">
        <f>_xlfn.XLOOKUP(Baukon[[#This Row],[LCA Datensatz]],LeitRess_Materialien[Material_UUID],LeitRess_Materialien[Flächengewicht_'[kg/m2']])</f>
        <v>0</v>
      </c>
      <c r="X58" s="104">
        <f>_xlfn.XLOOKUP(Baukon[[#This Row],[LCA Datensatz]],LeitRess_Materialien[Material_UUID],LeitRess_Materialien[Längengewicht_'[kg/m']])</f>
        <v>0</v>
      </c>
      <c r="Y58" s="104">
        <f>_xlfn.XLOOKUP(Baukon[[#This Row],[LCA Datensatz]],LeitRess_Materialien[Material_UUID],LeitRess_Materialien[lambda_'[W/mK']])</f>
        <v>4.8000000000000001E-2</v>
      </c>
      <c r="Z58" s="103">
        <f>IFERROR(Baukon[[#This Row],[Dicke '[mm'] Referenz]]/Baukon[[#This Row],[lambda_'[W/mK']]],"")</f>
        <v>5000</v>
      </c>
      <c r="AA58" s="37">
        <f>_xlfn.XLOOKUP(Baukon[[#This Row],[LCA Datensatz]],LeitRess_Materialien[Material_UUID],LeitRess_Materialien[RMI '[kg Primärrohstoffe / kg']])*Baukon[[#This Row],[Masse '[kg/m²'] Referenz]]</f>
        <v>22.863970280256815</v>
      </c>
      <c r="AB58" s="37">
        <f>_xlfn.XLOOKUP(Baukon[[#This Row],[LCA Datensatz]],LeitRess_Materialien[Material_UUID],LeitRess_Materialien[RMI '[kg Primärrohstoffe / kg']])*Baukon[[#This Row],[Masse '[kg/m²'] min]]</f>
        <v>19.053308566880684</v>
      </c>
      <c r="AC58" s="37">
        <f>_xlfn.XLOOKUP(Baukon[[#This Row],[LCA Datensatz]],LeitRess_Materialien[Material_UUID],LeitRess_Materialien[RMI '[kg Primärrohstoffe / kg']])*Baukon[[#This Row],[Masse '[kg/m²'] max]]</f>
        <v>30.485293707009092</v>
      </c>
      <c r="AD58" s="37">
        <f>_xlfn.XLOOKUP(Baukon[[#This Row],[LCA Datensatz]],LeitRess_Materialien[Material_UUID],LeitRess_Materialien[TMR '[kg Gesamtmaterialaufwand/kg']])*Baukon[[#This Row],[Masse '[kg/m²'] Referenz]]</f>
        <v>23.317698998791311</v>
      </c>
      <c r="AE58" s="37">
        <f>_xlfn.XLOOKUP(Baukon[[#This Row],[LCA Datensatz]],LeitRess_Materialien[Material_UUID],LeitRess_Materialien[TMR '[kg Gesamtmaterialaufwand/kg']])*Baukon[[#This Row],[Masse '[kg/m²'] min]]</f>
        <v>19.431415832326095</v>
      </c>
      <c r="AF58" s="37">
        <f>_xlfn.XLOOKUP(Baukon[[#This Row],[LCA Datensatz]],LeitRess_Materialien[Material_UUID],LeitRess_Materialien[TMR '[kg Gesamtmaterialaufwand/kg']])*Baukon[[#This Row],[Masse '[kg/m²'] max]]</f>
        <v>31.090265331721749</v>
      </c>
      <c r="AG58" s="37">
        <f>_xlfn.XLOOKUP(Baukon[[#This Row],[LCA Datensatz]],LeitRess_Materialien[Material_UUID],LeitRess_Materialien[GWP '[kg CO2-Äqu./kg']])*Baukon[[#This Row],[Masse '[kg/m²'] Referenz]]</f>
        <v>2.3041256643564672</v>
      </c>
      <c r="AH58" s="37">
        <f>_xlfn.XLOOKUP(Baukon[[#This Row],[LCA Datensatz]],LeitRess_Materialien[Material_UUID],LeitRess_Materialien[GWP '[kg CO2-Äqu./kg']])*Baukon[[#This Row],[Masse '[kg/m²'] min]]</f>
        <v>1.9201047202970565</v>
      </c>
      <c r="AI58" s="37">
        <f>_xlfn.XLOOKUP(Baukon[[#This Row],[LCA Datensatz]],LeitRess_Materialien[Material_UUID],LeitRess_Materialien[GWP '[kg CO2-Äqu./kg']])*Baukon[[#This Row],[Masse '[kg/m²'] max]]</f>
        <v>3.0721675524752898</v>
      </c>
      <c r="AJ58" s="37">
        <f>_xlfn.XLOOKUP(Baukon[[#This Row],[LCA Datensatz]],LeitRess_Materialien[Material_UUID],LeitRess_Materialien[PENRT '[MJ/kg']])*Baukon[[#This Row],[Masse '[kg/m²'] Referenz]]</f>
        <v>19.443708284156351</v>
      </c>
      <c r="AK58" s="37">
        <f>_xlfn.XLOOKUP(Baukon[[#This Row],[LCA Datensatz]],LeitRess_Materialien[Material_UUID],LeitRess_Materialien[PENRT '[MJ/kg']])*Baukon[[#This Row],[Masse '[kg/m²'] min]]</f>
        <v>16.203090236796964</v>
      </c>
      <c r="AL58" s="37">
        <f>_xlfn.XLOOKUP(Baukon[[#This Row],[LCA Datensatz]],LeitRess_Materialien[Material_UUID],LeitRess_Materialien[PENRT '[MJ/kg']])*Baukon[[#This Row],[Masse '[kg/m²'] max]]</f>
        <v>25.924944378875139</v>
      </c>
      <c r="AM58" s="37" t="e">
        <f>_xlfn.XLOOKUP(Baukon[[#This Row],[LCA Datensatz]],LeitRess_Materialien[Material_UUID],#REF!)*Baukon[[#This Row],[Masse '[kg/m²'] Referenz]]</f>
        <v>#REF!</v>
      </c>
      <c r="AN58" s="37" t="e">
        <f>_xlfn.XLOOKUP(Baukon[[#This Row],[LCA Datensatz]],LeitRess_Materialien[Material_UUID],#REF!)*Baukon[[#This Row],[Masse '[kg/m²'] min]]</f>
        <v>#REF!</v>
      </c>
      <c r="AO58" s="37" t="e">
        <f>_xlfn.XLOOKUP(Baukon[[#This Row],[LCA Datensatz]],LeitRess_Materialien[Material_UUID],#REF!)*Baukon[[#This Row],[Masse '[kg/m²'] max]]</f>
        <v>#REF!</v>
      </c>
      <c r="AP58" s="37">
        <f>_xlfn.XLOOKUP(Baukon[[#This Row],[LCA Datensatz]],LeitRess_Materialien[Material_UUID],LeitRess_Materialien[WDP '[m³ weighted water/kg']])*Baukon[[#This Row],[Masse '[kg/m²'] Referenz]]</f>
        <v>2.0273707119804096</v>
      </c>
      <c r="AQ58" s="37">
        <f>_xlfn.XLOOKUP(Baukon[[#This Row],[LCA Datensatz]],LeitRess_Materialien[Material_UUID],LeitRess_Materialien[WDP '[m³ weighted water/kg']])*Baukon[[#This Row],[Masse '[kg/m²'] min]]</f>
        <v>1.6894755933170085</v>
      </c>
      <c r="AR58" s="37">
        <f>_xlfn.XLOOKUP(Baukon[[#This Row],[LCA Datensatz]],LeitRess_Materialien[Material_UUID],LeitRess_Materialien[WDP '[m³ weighted water/kg']])*Baukon[[#This Row],[Masse '[kg/m²'] max]]</f>
        <v>2.7031609493072128</v>
      </c>
      <c r="AS58" s="39">
        <f>Baukon[[#This Row],[GWP '[kg CO2-Äqu./m²'] Referenz]]/'Ausgabe Tabellen'!$C$21+Baukon[[#This Row],[PENRT '[MJ/m²'] Referenz]]/'Ausgabe Tabellen'!$C$22+Baukon[[#This Row],[RMI '[kg Primärrohstoffe/m²'] Referenz]]/'Ausgabe Tabellen'!$C$23+Baukon[[#This Row],[WDP '[m² weighted water/m²'] Referenz]]/'Ausgabe Tabellen'!$C$24</f>
        <v>1.154073950311169E-3</v>
      </c>
      <c r="AT58" s="39">
        <f>Baukon[[#This Row],[GWP '[kg CO2-Äqu./m²'] min]]/'Ausgabe Tabellen'!$C$21+Baukon[[#This Row],[PENRT '[MJ/m²'] min]]/'Ausgabe Tabellen'!$C$22+Baukon[[#This Row],[RMI '[kg Primärrohstoffe/m²'] min]]/'Ausgabe Tabellen'!$C$23+Baukon[[#This Row],[WDP '[m² weighted water/m²'] min]]/'Ausgabe Tabellen'!$C$24</f>
        <v>9.617282919259743E-4</v>
      </c>
      <c r="AU58" s="39">
        <f>Baukon[[#This Row],[GWP '[kg CO2-Äqu./m²'] max]]/'Ausgabe Tabellen'!$C$21+Baukon[[#This Row],[PENRT '[MJ/m²'] max]]/'Ausgabe Tabellen'!$C$22+Baukon[[#This Row],[RMI '[kg Primärrohstoffe/m²'] max]]/'Ausgabe Tabellen'!$C$23+Baukon[[#This Row],[WDP '[m² weighted water/m²'] max]]/'Ausgabe Tabellen'!$C$24</f>
        <v>1.5387652670815588E-3</v>
      </c>
    </row>
    <row r="59" spans="1:47" s="24" customFormat="1" ht="15.75" x14ac:dyDescent="0.5">
      <c r="A59" s="36" t="s">
        <v>87</v>
      </c>
      <c r="B59" s="36" t="s">
        <v>325</v>
      </c>
      <c r="C59" s="36">
        <v>8</v>
      </c>
      <c r="D59" s="36" t="s">
        <v>275</v>
      </c>
      <c r="E59" s="36" t="str">
        <f>Baukon[[#This Row],[Variante Nummer]]&amp;". "&amp;Baukon[[#This Row],[Name Baukonstruktion]]&amp;" | " &amp;Baukon[[#This Row],[Variante Name]]</f>
        <v>8. Holzrahmenbau - Holzständerbauweise (HSB) | Stroh</v>
      </c>
      <c r="F59" s="36" t="s">
        <v>334</v>
      </c>
      <c r="G59" s="36" t="s">
        <v>272</v>
      </c>
      <c r="H59" s="36" t="s">
        <v>225</v>
      </c>
      <c r="I59" s="41">
        <v>18</v>
      </c>
      <c r="J59" s="36">
        <f>IF(Baukon[[#This Row],[Material ist Dämmstoff?]]="ja",Baukon[[#This Row],[Dicke '[mm'] Referenz]]+_xlfn.XLOOKUP(RIGHT(Baukon[[#Headers],[Dicke '[mm'] min]],3),Dämmstoffvarianten[Variante],Dämmstoffvarianten[Differenz Dämmstoffedicke zu Referenz '[mm']]),Baukon[[#This Row],[Dicke '[mm'] Referenz]])</f>
        <v>18</v>
      </c>
      <c r="K59" s="36">
        <f>IF(Baukon[[#This Row],[Material ist Dämmstoff?]]="ja",Baukon[[#This Row],[Dicke '[mm'] Referenz]]+_xlfn.XLOOKUP(RIGHT(Baukon[[#Headers],[Dicke '[mm'] max]],3),Dämmstoffvarianten[Variante],Dämmstoffvarianten[Differenz Dämmstoffedicke zu Referenz '[mm']]),Baukon[[#This Row],[Dicke '[mm'] Referenz]])</f>
        <v>18</v>
      </c>
      <c r="L59" s="43">
        <v>1</v>
      </c>
      <c r="M59" s="41"/>
      <c r="N59" s="103">
        <f>IFERROR(Baukon[[#This Row],[Dicke '[mm'] Referenz]]/1000*Baukon[[#This Row],[Flächenanteil '[%']]],"")</f>
        <v>1.7999999999999999E-2</v>
      </c>
      <c r="O59" s="103">
        <f>IFERROR(Baukon[[#This Row],[Dicke '[mm'] min]]/1000*Baukon[[#This Row],[Flächenanteil '[%']]],"")</f>
        <v>1.7999999999999999E-2</v>
      </c>
      <c r="P59" s="103">
        <f>IFERROR(Baukon[[#This Row],[Dicke '[mm'] max]]/1000*Baukon[[#This Row],[Flächenanteil '[%']]],"")</f>
        <v>1.7999999999999999E-2</v>
      </c>
      <c r="Q59"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2.7136799999999996</v>
      </c>
      <c r="R59"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2.7136799999999996</v>
      </c>
      <c r="S59"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2.7136799999999996</v>
      </c>
      <c r="T59" s="42" t="s">
        <v>226</v>
      </c>
      <c r="U59" s="103" t="str">
        <f>_xlfn.XLOOKUP(Baukon[[#This Row],[Material]],LeitRess_Materialien[Name],LeitRess_Materialien[Material_UUID])</f>
        <v>51a420d8-6366-4e14-83db-ecfe0721774d</v>
      </c>
      <c r="V59" s="42">
        <f>_xlfn.XLOOKUP(Baukon[[#This Row],[LCA Datensatz]],LeitRess_Materialien[Material_UUID],LeitRess_Materialien[Rohdichte_'[kg/m3']])</f>
        <v>150.76</v>
      </c>
      <c r="W59" s="42">
        <f>_xlfn.XLOOKUP(Baukon[[#This Row],[LCA Datensatz]],LeitRess_Materialien[Material_UUID],LeitRess_Materialien[Flächengewicht_'[kg/m2']])</f>
        <v>0</v>
      </c>
      <c r="X59" s="104">
        <f>_xlfn.XLOOKUP(Baukon[[#This Row],[LCA Datensatz]],LeitRess_Materialien[Material_UUID],LeitRess_Materialien[Längengewicht_'[kg/m']])</f>
        <v>0</v>
      </c>
      <c r="Y59" s="104">
        <f>_xlfn.XLOOKUP(Baukon[[#This Row],[LCA Datensatz]],LeitRess_Materialien[Material_UUID],LeitRess_Materialien[lambda_'[W/mK']])</f>
        <v>3.2000000000000001E-2</v>
      </c>
      <c r="Z59" s="103">
        <f>IFERROR(Baukon[[#This Row],[Dicke '[mm'] Referenz]]/Baukon[[#This Row],[lambda_'[W/mK']]],"")</f>
        <v>562.5</v>
      </c>
      <c r="AA59" s="37">
        <f>_xlfn.XLOOKUP(Baukon[[#This Row],[LCA Datensatz]],LeitRess_Materialien[Material_UUID],LeitRess_Materialien[RMI '[kg Primärrohstoffe / kg']])*Baukon[[#This Row],[Masse '[kg/m²'] Referenz]]</f>
        <v>4.2322772641023754</v>
      </c>
      <c r="AB59" s="37">
        <f>_xlfn.XLOOKUP(Baukon[[#This Row],[LCA Datensatz]],LeitRess_Materialien[Material_UUID],LeitRess_Materialien[RMI '[kg Primärrohstoffe / kg']])*Baukon[[#This Row],[Masse '[kg/m²'] min]]</f>
        <v>4.2322772641023754</v>
      </c>
      <c r="AC59" s="37">
        <f>_xlfn.XLOOKUP(Baukon[[#This Row],[LCA Datensatz]],LeitRess_Materialien[Material_UUID],LeitRess_Materialien[RMI '[kg Primärrohstoffe / kg']])*Baukon[[#This Row],[Masse '[kg/m²'] max]]</f>
        <v>4.2322772641023754</v>
      </c>
      <c r="AD59" s="37">
        <f>_xlfn.XLOOKUP(Baukon[[#This Row],[LCA Datensatz]],LeitRess_Materialien[Material_UUID],LeitRess_Materialien[TMR '[kg Gesamtmaterialaufwand/kg']])*Baukon[[#This Row],[Masse '[kg/m²'] Referenz]]</f>
        <v>5.0878934799802336</v>
      </c>
      <c r="AE59" s="37">
        <f>_xlfn.XLOOKUP(Baukon[[#This Row],[LCA Datensatz]],LeitRess_Materialien[Material_UUID],LeitRess_Materialien[TMR '[kg Gesamtmaterialaufwand/kg']])*Baukon[[#This Row],[Masse '[kg/m²'] min]]</f>
        <v>5.0878934799802336</v>
      </c>
      <c r="AF59" s="37">
        <f>_xlfn.XLOOKUP(Baukon[[#This Row],[LCA Datensatz]],LeitRess_Materialien[Material_UUID],LeitRess_Materialien[TMR '[kg Gesamtmaterialaufwand/kg']])*Baukon[[#This Row],[Masse '[kg/m²'] max]]</f>
        <v>5.0878934799802336</v>
      </c>
      <c r="AG59" s="37">
        <f>_xlfn.XLOOKUP(Baukon[[#This Row],[LCA Datensatz]],LeitRess_Materialien[Material_UUID],LeitRess_Materialien[GWP '[kg CO2-Äqu./kg']])*Baukon[[#This Row],[Masse '[kg/m²'] Referenz]]</f>
        <v>2.5463115040641155</v>
      </c>
      <c r="AH59" s="37">
        <f>_xlfn.XLOOKUP(Baukon[[#This Row],[LCA Datensatz]],LeitRess_Materialien[Material_UUID],LeitRess_Materialien[GWP '[kg CO2-Äqu./kg']])*Baukon[[#This Row],[Masse '[kg/m²'] min]]</f>
        <v>2.5463115040641155</v>
      </c>
      <c r="AI59" s="37">
        <f>_xlfn.XLOOKUP(Baukon[[#This Row],[LCA Datensatz]],LeitRess_Materialien[Material_UUID],LeitRess_Materialien[GWP '[kg CO2-Äqu./kg']])*Baukon[[#This Row],[Masse '[kg/m²'] max]]</f>
        <v>2.5463115040641155</v>
      </c>
      <c r="AJ59" s="37">
        <f>_xlfn.XLOOKUP(Baukon[[#This Row],[LCA Datensatz]],LeitRess_Materialien[Material_UUID],LeitRess_Materialien[PENRT '[MJ/kg']])*Baukon[[#This Row],[Masse '[kg/m²'] Referenz]]</f>
        <v>43.32657921182188</v>
      </c>
      <c r="AK59" s="37">
        <f>_xlfn.XLOOKUP(Baukon[[#This Row],[LCA Datensatz]],LeitRess_Materialien[Material_UUID],LeitRess_Materialien[PENRT '[MJ/kg']])*Baukon[[#This Row],[Masse '[kg/m²'] min]]</f>
        <v>43.32657921182188</v>
      </c>
      <c r="AL59" s="37">
        <f>_xlfn.XLOOKUP(Baukon[[#This Row],[LCA Datensatz]],LeitRess_Materialien[Material_UUID],LeitRess_Materialien[PENRT '[MJ/kg']])*Baukon[[#This Row],[Masse '[kg/m²'] max]]</f>
        <v>43.32657921182188</v>
      </c>
      <c r="AM59" s="37" t="e">
        <f>_xlfn.XLOOKUP(Baukon[[#This Row],[LCA Datensatz]],LeitRess_Materialien[Material_UUID],#REF!)*Baukon[[#This Row],[Masse '[kg/m²'] Referenz]]</f>
        <v>#REF!</v>
      </c>
      <c r="AN59" s="37" t="e">
        <f>_xlfn.XLOOKUP(Baukon[[#This Row],[LCA Datensatz]],LeitRess_Materialien[Material_UUID],#REF!)*Baukon[[#This Row],[Masse '[kg/m²'] min]]</f>
        <v>#REF!</v>
      </c>
      <c r="AO59" s="37" t="e">
        <f>_xlfn.XLOOKUP(Baukon[[#This Row],[LCA Datensatz]],LeitRess_Materialien[Material_UUID],#REF!)*Baukon[[#This Row],[Masse '[kg/m²'] max]]</f>
        <v>#REF!</v>
      </c>
      <c r="AP59" s="37">
        <f>_xlfn.XLOOKUP(Baukon[[#This Row],[LCA Datensatz]],LeitRess_Materialien[Material_UUID],LeitRess_Materialien[WDP '[m³ weighted water/kg']])*Baukon[[#This Row],[Masse '[kg/m²'] Referenz]]</f>
        <v>1.7389461468424889</v>
      </c>
      <c r="AQ59" s="37">
        <f>_xlfn.XLOOKUP(Baukon[[#This Row],[LCA Datensatz]],LeitRess_Materialien[Material_UUID],LeitRess_Materialien[WDP '[m³ weighted water/kg']])*Baukon[[#This Row],[Masse '[kg/m²'] min]]</f>
        <v>1.7389461468424889</v>
      </c>
      <c r="AR59" s="37">
        <f>_xlfn.XLOOKUP(Baukon[[#This Row],[LCA Datensatz]],LeitRess_Materialien[Material_UUID],LeitRess_Materialien[WDP '[m³ weighted water/kg']])*Baukon[[#This Row],[Masse '[kg/m²'] max]]</f>
        <v>1.7389461468424889</v>
      </c>
      <c r="AS59" s="39">
        <f>Baukon[[#This Row],[GWP '[kg CO2-Äqu./m²'] Referenz]]/'Ausgabe Tabellen'!$C$21+Baukon[[#This Row],[PENRT '[MJ/m²'] Referenz]]/'Ausgabe Tabellen'!$C$22+Baukon[[#This Row],[RMI '[kg Primärrohstoffe/m²'] Referenz]]/'Ausgabe Tabellen'!$C$23+Baukon[[#This Row],[WDP '[m² weighted water/m²'] Referenz]]/'Ausgabe Tabellen'!$C$24</f>
        <v>8.1057937491179309E-4</v>
      </c>
      <c r="AT59" s="39">
        <f>Baukon[[#This Row],[GWP '[kg CO2-Äqu./m²'] min]]/'Ausgabe Tabellen'!$C$21+Baukon[[#This Row],[PENRT '[MJ/m²'] min]]/'Ausgabe Tabellen'!$C$22+Baukon[[#This Row],[RMI '[kg Primärrohstoffe/m²'] min]]/'Ausgabe Tabellen'!$C$23+Baukon[[#This Row],[WDP '[m² weighted water/m²'] min]]/'Ausgabe Tabellen'!$C$24</f>
        <v>8.1057937491179309E-4</v>
      </c>
      <c r="AU59" s="39">
        <f>Baukon[[#This Row],[GWP '[kg CO2-Äqu./m²'] max]]/'Ausgabe Tabellen'!$C$21+Baukon[[#This Row],[PENRT '[MJ/m²'] max]]/'Ausgabe Tabellen'!$C$22+Baukon[[#This Row],[RMI '[kg Primärrohstoffe/m²'] max]]/'Ausgabe Tabellen'!$C$23+Baukon[[#This Row],[WDP '[m² weighted water/m²'] max]]/'Ausgabe Tabellen'!$C$24</f>
        <v>8.1057937491179309E-4</v>
      </c>
    </row>
    <row r="60" spans="1:47" s="24" customFormat="1" ht="15.75" x14ac:dyDescent="0.5">
      <c r="A60" s="36" t="s">
        <v>87</v>
      </c>
      <c r="B60" s="36" t="s">
        <v>336</v>
      </c>
      <c r="C60" s="36">
        <v>0</v>
      </c>
      <c r="D60" s="36" t="s">
        <v>10</v>
      </c>
      <c r="E60" s="36" t="str">
        <f>Baukon[[#This Row],[Variante Nummer]]&amp;". "&amp;Baukon[[#This Row],[Name Baukonstruktion]]&amp;" | " &amp;Baukon[[#This Row],[Variante Name]]</f>
        <v>0. Pfosten/Riegelsystem aus Aluminium | Referenz</v>
      </c>
      <c r="F60" s="36" t="s">
        <v>353</v>
      </c>
      <c r="G60" s="36" t="s">
        <v>354</v>
      </c>
      <c r="H60" s="36" t="s">
        <v>225</v>
      </c>
      <c r="I60" s="41">
        <v>125</v>
      </c>
      <c r="J60" s="36">
        <f>IF(Baukon[[#This Row],[Material ist Dämmstoff?]]="ja",Baukon[[#This Row],[Dicke '[mm'] Referenz]]+_xlfn.XLOOKUP(RIGHT(Baukon[[#Headers],[Dicke '[mm'] min]],3),Dämmstoffvarianten[Variante],Dämmstoffvarianten[Differenz Dämmstoffedicke zu Referenz '[mm']]),Baukon[[#This Row],[Dicke '[mm'] Referenz]])</f>
        <v>125</v>
      </c>
      <c r="K60" s="36">
        <f>IF(Baukon[[#This Row],[Material ist Dämmstoff?]]="ja",Baukon[[#This Row],[Dicke '[mm'] Referenz]]+_xlfn.XLOOKUP(RIGHT(Baukon[[#Headers],[Dicke '[mm'] max]],3),Dämmstoffvarianten[Variante],Dämmstoffvarianten[Differenz Dämmstoffedicke zu Referenz '[mm']]),Baukon[[#This Row],[Dicke '[mm'] Referenz]])</f>
        <v>125</v>
      </c>
      <c r="L60" s="43">
        <f>0.05*1/0.6</f>
        <v>8.3333333333333343E-2</v>
      </c>
      <c r="M60" s="42">
        <v>1.6666666666666667</v>
      </c>
      <c r="N60" s="103">
        <f>IFERROR(Baukon[[#This Row],[Dicke '[mm'] Referenz]]/1000*Baukon[[#This Row],[Flächenanteil '[%']]],"")</f>
        <v>1.0416666666666668E-2</v>
      </c>
      <c r="O60" s="103">
        <f>IFERROR(Baukon[[#This Row],[Dicke '[mm'] min]]/1000*Baukon[[#This Row],[Flächenanteil '[%']]],"")</f>
        <v>1.0416666666666668E-2</v>
      </c>
      <c r="P60" s="103">
        <f>IFERROR(Baukon[[#This Row],[Dicke '[mm'] max]]/1000*Baukon[[#This Row],[Flächenanteil '[%']]],"")</f>
        <v>1.0416666666666668E-2</v>
      </c>
      <c r="Q60"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9.5</v>
      </c>
      <c r="R60"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9.5</v>
      </c>
      <c r="S60"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9.5</v>
      </c>
      <c r="T60" s="42" t="s">
        <v>447</v>
      </c>
      <c r="U60" s="103" t="str">
        <f>_xlfn.XLOOKUP(Baukon[[#This Row],[Material]],LeitRess_Materialien[Name],LeitRess_Materialien[Material_UUID])</f>
        <v>1d2945e3-856e-4c5f-9894-e75bafad3a76</v>
      </c>
      <c r="V60" s="42">
        <f>_xlfn.XLOOKUP(Baukon[[#This Row],[LCA Datensatz]],LeitRess_Materialien[Material_UUID],LeitRess_Materialien[Rohdichte_'[kg/m3']])</f>
        <v>0</v>
      </c>
      <c r="W60" s="42">
        <f>_xlfn.XLOOKUP(Baukon[[#This Row],[LCA Datensatz]],LeitRess_Materialien[Material_UUID],LeitRess_Materialien[Flächengewicht_'[kg/m2']])</f>
        <v>0</v>
      </c>
      <c r="X60" s="104">
        <f>_xlfn.XLOOKUP(Baukon[[#This Row],[LCA Datensatz]],LeitRess_Materialien[Material_UUID],LeitRess_Materialien[Längengewicht_'[kg/m']])</f>
        <v>5.7</v>
      </c>
      <c r="Y60" s="104">
        <f>_xlfn.XLOOKUP(Baukon[[#This Row],[LCA Datensatz]],LeitRess_Materialien[Material_UUID],LeitRess_Materialien[lambda_'[W/mK']])</f>
        <v>0</v>
      </c>
      <c r="Z60" s="103" t="str">
        <f>IFERROR(Baukon[[#This Row],[Dicke '[mm'] Referenz]]/Baukon[[#This Row],[lambda_'[W/mK']]],"")</f>
        <v/>
      </c>
      <c r="AA60" s="37">
        <f>_xlfn.XLOOKUP(Baukon[[#This Row],[LCA Datensatz]],LeitRess_Materialien[Material_UUID],LeitRess_Materialien[RMI '[kg Primärrohstoffe / kg']])*Baukon[[#This Row],[Masse '[kg/m²'] Referenz]]</f>
        <v>145.64398110052281</v>
      </c>
      <c r="AB60" s="37">
        <f>_xlfn.XLOOKUP(Baukon[[#This Row],[LCA Datensatz]],LeitRess_Materialien[Material_UUID],LeitRess_Materialien[RMI '[kg Primärrohstoffe / kg']])*Baukon[[#This Row],[Masse '[kg/m²'] min]]</f>
        <v>145.64398110052281</v>
      </c>
      <c r="AC60" s="37">
        <f>_xlfn.XLOOKUP(Baukon[[#This Row],[LCA Datensatz]],LeitRess_Materialien[Material_UUID],LeitRess_Materialien[RMI '[kg Primärrohstoffe / kg']])*Baukon[[#This Row],[Masse '[kg/m²'] max]]</f>
        <v>145.64398110052281</v>
      </c>
      <c r="AD60" s="37">
        <f>_xlfn.XLOOKUP(Baukon[[#This Row],[LCA Datensatz]],LeitRess_Materialien[Material_UUID],LeitRess_Materialien[TMR '[kg Gesamtmaterialaufwand/kg']])*Baukon[[#This Row],[Masse '[kg/m²'] Referenz]]</f>
        <v>199.50838875199321</v>
      </c>
      <c r="AE60" s="37">
        <f>_xlfn.XLOOKUP(Baukon[[#This Row],[LCA Datensatz]],LeitRess_Materialien[Material_UUID],LeitRess_Materialien[TMR '[kg Gesamtmaterialaufwand/kg']])*Baukon[[#This Row],[Masse '[kg/m²'] min]]</f>
        <v>199.50838875199321</v>
      </c>
      <c r="AF60" s="37">
        <f>_xlfn.XLOOKUP(Baukon[[#This Row],[LCA Datensatz]],LeitRess_Materialien[Material_UUID],LeitRess_Materialien[TMR '[kg Gesamtmaterialaufwand/kg']])*Baukon[[#This Row],[Masse '[kg/m²'] max]]</f>
        <v>199.50838875199321</v>
      </c>
      <c r="AG60" s="37">
        <f>_xlfn.XLOOKUP(Baukon[[#This Row],[LCA Datensatz]],LeitRess_Materialien[Material_UUID],LeitRess_Materialien[GWP '[kg CO2-Äqu./kg']])*Baukon[[#This Row],[Masse '[kg/m²'] Referenz]]</f>
        <v>128.67935488568463</v>
      </c>
      <c r="AH60" s="37">
        <f>_xlfn.XLOOKUP(Baukon[[#This Row],[LCA Datensatz]],LeitRess_Materialien[Material_UUID],LeitRess_Materialien[GWP '[kg CO2-Äqu./kg']])*Baukon[[#This Row],[Masse '[kg/m²'] min]]</f>
        <v>128.67935488568463</v>
      </c>
      <c r="AI60" s="37">
        <f>_xlfn.XLOOKUP(Baukon[[#This Row],[LCA Datensatz]],LeitRess_Materialien[Material_UUID],LeitRess_Materialien[GWP '[kg CO2-Äqu./kg']])*Baukon[[#This Row],[Masse '[kg/m²'] max]]</f>
        <v>128.67935488568463</v>
      </c>
      <c r="AJ60" s="37">
        <f>_xlfn.XLOOKUP(Baukon[[#This Row],[LCA Datensatz]],LeitRess_Materialien[Material_UUID],LeitRess_Materialien[PENRT '[MJ/kg']])*Baukon[[#This Row],[Masse '[kg/m²'] Referenz]]</f>
        <v>1812.6021007340216</v>
      </c>
      <c r="AK60" s="37">
        <f>_xlfn.XLOOKUP(Baukon[[#This Row],[LCA Datensatz]],LeitRess_Materialien[Material_UUID],LeitRess_Materialien[PENRT '[MJ/kg']])*Baukon[[#This Row],[Masse '[kg/m²'] min]]</f>
        <v>1812.6021007340216</v>
      </c>
      <c r="AL60" s="37">
        <f>_xlfn.XLOOKUP(Baukon[[#This Row],[LCA Datensatz]],LeitRess_Materialien[Material_UUID],LeitRess_Materialien[PENRT '[MJ/kg']])*Baukon[[#This Row],[Masse '[kg/m²'] max]]</f>
        <v>1812.6021007340216</v>
      </c>
      <c r="AM60" s="37" t="e">
        <f>_xlfn.XLOOKUP(Baukon[[#This Row],[LCA Datensatz]],LeitRess_Materialien[Material_UUID],#REF!)*Baukon[[#This Row],[Masse '[kg/m²'] Referenz]]</f>
        <v>#REF!</v>
      </c>
      <c r="AN60" s="37" t="e">
        <f>_xlfn.XLOOKUP(Baukon[[#This Row],[LCA Datensatz]],LeitRess_Materialien[Material_UUID],#REF!)*Baukon[[#This Row],[Masse '[kg/m²'] min]]</f>
        <v>#REF!</v>
      </c>
      <c r="AO60" s="37" t="e">
        <f>_xlfn.XLOOKUP(Baukon[[#This Row],[LCA Datensatz]],LeitRess_Materialien[Material_UUID],#REF!)*Baukon[[#This Row],[Masse '[kg/m²'] max]]</f>
        <v>#REF!</v>
      </c>
      <c r="AP60" s="37">
        <f>_xlfn.XLOOKUP(Baukon[[#This Row],[LCA Datensatz]],LeitRess_Materialien[Material_UUID],LeitRess_Materialien[WDP '[m³ weighted water/kg']])*Baukon[[#This Row],[Masse '[kg/m²'] Referenz]]</f>
        <v>44.787271126306123</v>
      </c>
      <c r="AQ60" s="37">
        <f>_xlfn.XLOOKUP(Baukon[[#This Row],[LCA Datensatz]],LeitRess_Materialien[Material_UUID],LeitRess_Materialien[WDP '[m³ weighted water/kg']])*Baukon[[#This Row],[Masse '[kg/m²'] min]]</f>
        <v>44.787271126306123</v>
      </c>
      <c r="AR60" s="37">
        <f>_xlfn.XLOOKUP(Baukon[[#This Row],[LCA Datensatz]],LeitRess_Materialien[Material_UUID],LeitRess_Materialien[WDP '[m³ weighted water/kg']])*Baukon[[#This Row],[Masse '[kg/m²'] max]]</f>
        <v>44.787271126306123</v>
      </c>
      <c r="AS60" s="39">
        <f>Baukon[[#This Row],[GWP '[kg CO2-Äqu./m²'] Referenz]]/'Ausgabe Tabellen'!$C$21+Baukon[[#This Row],[PENRT '[MJ/m²'] Referenz]]/'Ausgabe Tabellen'!$C$22+Baukon[[#This Row],[RMI '[kg Primärrohstoffe/m²'] Referenz]]/'Ausgabe Tabellen'!$C$23+Baukon[[#This Row],[WDP '[m² weighted water/m²'] Referenz]]/'Ausgabe Tabellen'!$C$24</f>
        <v>3.2589761043348459E-2</v>
      </c>
      <c r="AT60" s="39">
        <f>Baukon[[#This Row],[GWP '[kg CO2-Äqu./m²'] min]]/'Ausgabe Tabellen'!$C$21+Baukon[[#This Row],[PENRT '[MJ/m²'] min]]/'Ausgabe Tabellen'!$C$22+Baukon[[#This Row],[RMI '[kg Primärrohstoffe/m²'] min]]/'Ausgabe Tabellen'!$C$23+Baukon[[#This Row],[WDP '[m² weighted water/m²'] min]]/'Ausgabe Tabellen'!$C$24</f>
        <v>3.2589761043348459E-2</v>
      </c>
      <c r="AU60" s="39">
        <f>Baukon[[#This Row],[GWP '[kg CO2-Äqu./m²'] max]]/'Ausgabe Tabellen'!$C$21+Baukon[[#This Row],[PENRT '[MJ/m²'] max]]/'Ausgabe Tabellen'!$C$22+Baukon[[#This Row],[RMI '[kg Primärrohstoffe/m²'] max]]/'Ausgabe Tabellen'!$C$23+Baukon[[#This Row],[WDP '[m² weighted water/m²'] max]]/'Ausgabe Tabellen'!$C$24</f>
        <v>3.2589761043348459E-2</v>
      </c>
    </row>
    <row r="61" spans="1:47" s="24" customFormat="1" ht="15.75" x14ac:dyDescent="0.5">
      <c r="A61" s="36" t="s">
        <v>87</v>
      </c>
      <c r="B61" s="36" t="s">
        <v>336</v>
      </c>
      <c r="C61" s="36">
        <v>0</v>
      </c>
      <c r="D61" s="36" t="s">
        <v>10</v>
      </c>
      <c r="E61" s="36" t="str">
        <f>Baukon[[#This Row],[Variante Nummer]]&amp;". "&amp;Baukon[[#This Row],[Name Baukonstruktion]]&amp;" | " &amp;Baukon[[#This Row],[Variante Name]]</f>
        <v>0. Pfosten/Riegelsystem aus Aluminium | Referenz</v>
      </c>
      <c r="F61" s="36" t="s">
        <v>294</v>
      </c>
      <c r="G61" s="36" t="s">
        <v>294</v>
      </c>
      <c r="H61" s="36" t="s">
        <v>225</v>
      </c>
      <c r="I61" s="41">
        <v>36</v>
      </c>
      <c r="J61" s="36">
        <f>IF(Baukon[[#This Row],[Material ist Dämmstoff?]]="ja",Baukon[[#This Row],[Dicke '[mm'] Referenz]]+_xlfn.XLOOKUP(RIGHT(Baukon[[#Headers],[Dicke '[mm'] min]],3),Dämmstoffvarianten[Variante],Dämmstoffvarianten[Differenz Dämmstoffedicke zu Referenz '[mm']]),Baukon[[#This Row],[Dicke '[mm'] Referenz]])</f>
        <v>36</v>
      </c>
      <c r="K61" s="36">
        <f>IF(Baukon[[#This Row],[Material ist Dämmstoff?]]="ja",Baukon[[#This Row],[Dicke '[mm'] Referenz]]+_xlfn.XLOOKUP(RIGHT(Baukon[[#Headers],[Dicke '[mm'] max]],3),Dämmstoffvarianten[Variante],Dämmstoffvarianten[Differenz Dämmstoffedicke zu Referenz '[mm']]),Baukon[[#This Row],[Dicke '[mm'] Referenz]])</f>
        <v>36</v>
      </c>
      <c r="L61" s="43">
        <v>0.91666666666666663</v>
      </c>
      <c r="M61" s="41"/>
      <c r="N61" s="103">
        <f>IFERROR(Baukon[[#This Row],[Dicke '[mm'] Referenz]]/1000*Baukon[[#This Row],[Flächenanteil '[%']]],"")</f>
        <v>3.2999999999999995E-2</v>
      </c>
      <c r="O61" s="103">
        <f>IFERROR(Baukon[[#This Row],[Dicke '[mm'] min]]/1000*Baukon[[#This Row],[Flächenanteil '[%']]],"")</f>
        <v>3.2999999999999995E-2</v>
      </c>
      <c r="P61" s="103">
        <f>IFERROR(Baukon[[#This Row],[Dicke '[mm'] max]]/1000*Baukon[[#This Row],[Flächenanteil '[%']]],"")</f>
        <v>3.2999999999999995E-2</v>
      </c>
      <c r="Q61"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27.5</v>
      </c>
      <c r="R61"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27.5</v>
      </c>
      <c r="S61"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27.5</v>
      </c>
      <c r="T61" s="42" t="s">
        <v>226</v>
      </c>
      <c r="U61" s="103" t="str">
        <f>_xlfn.XLOOKUP(Baukon[[#This Row],[Material]],LeitRess_Materialien[Name],LeitRess_Materialien[Material_UUID])</f>
        <v>fa9f6670-3170-4597-92ab-a2fdec7f1451</v>
      </c>
      <c r="V61" s="42">
        <f>_xlfn.XLOOKUP(Baukon[[#This Row],[LCA Datensatz]],LeitRess_Materialien[Material_UUID],LeitRess_Materialien[Rohdichte_'[kg/m3']])</f>
        <v>0</v>
      </c>
      <c r="W61" s="42">
        <f>_xlfn.XLOOKUP(Baukon[[#This Row],[LCA Datensatz]],LeitRess_Materialien[Material_UUID],LeitRess_Materialien[Flächengewicht_'[kg/m2']])</f>
        <v>30</v>
      </c>
      <c r="X61" s="104">
        <f>_xlfn.XLOOKUP(Baukon[[#This Row],[LCA Datensatz]],LeitRess_Materialien[Material_UUID],LeitRess_Materialien[Längengewicht_'[kg/m']])</f>
        <v>0</v>
      </c>
      <c r="Y61" s="104">
        <f>_xlfn.XLOOKUP(Baukon[[#This Row],[LCA Datensatz]],LeitRess_Materialien[Material_UUID],LeitRess_Materialien[lambda_'[W/mK']])</f>
        <v>0.03</v>
      </c>
      <c r="Z61" s="103">
        <f>IFERROR(Baukon[[#This Row],[Dicke '[mm'] Referenz]]/Baukon[[#This Row],[lambda_'[W/mK']]],"")</f>
        <v>1200</v>
      </c>
      <c r="AA61" s="37">
        <f>_xlfn.XLOOKUP(Baukon[[#This Row],[LCA Datensatz]],LeitRess_Materialien[Material_UUID],LeitRess_Materialien[RMI '[kg Primärrohstoffe / kg']])*Baukon[[#This Row],[Masse '[kg/m²'] Referenz]]</f>
        <v>73.905120285434094</v>
      </c>
      <c r="AB61" s="37">
        <f>_xlfn.XLOOKUP(Baukon[[#This Row],[LCA Datensatz]],LeitRess_Materialien[Material_UUID],LeitRess_Materialien[RMI '[kg Primärrohstoffe / kg']])*Baukon[[#This Row],[Masse '[kg/m²'] min]]</f>
        <v>73.905120285434094</v>
      </c>
      <c r="AC61" s="37">
        <f>_xlfn.XLOOKUP(Baukon[[#This Row],[LCA Datensatz]],LeitRess_Materialien[Material_UUID],LeitRess_Materialien[RMI '[kg Primärrohstoffe / kg']])*Baukon[[#This Row],[Masse '[kg/m²'] max]]</f>
        <v>73.905120285434094</v>
      </c>
      <c r="AD61" s="37">
        <f>_xlfn.XLOOKUP(Baukon[[#This Row],[LCA Datensatz]],LeitRess_Materialien[Material_UUID],LeitRess_Materialien[TMR '[kg Gesamtmaterialaufwand/kg']])*Baukon[[#This Row],[Masse '[kg/m²'] Referenz]]</f>
        <v>86.222295975239973</v>
      </c>
      <c r="AE61" s="37">
        <f>_xlfn.XLOOKUP(Baukon[[#This Row],[LCA Datensatz]],LeitRess_Materialien[Material_UUID],LeitRess_Materialien[TMR '[kg Gesamtmaterialaufwand/kg']])*Baukon[[#This Row],[Masse '[kg/m²'] min]]</f>
        <v>86.222295975239973</v>
      </c>
      <c r="AF61" s="37">
        <f>_xlfn.XLOOKUP(Baukon[[#This Row],[LCA Datensatz]],LeitRess_Materialien[Material_UUID],LeitRess_Materialien[TMR '[kg Gesamtmaterialaufwand/kg']])*Baukon[[#This Row],[Masse '[kg/m²'] max]]</f>
        <v>86.222295975239973</v>
      </c>
      <c r="AG61" s="37">
        <f>_xlfn.XLOOKUP(Baukon[[#This Row],[LCA Datensatz]],LeitRess_Materialien[Material_UUID],LeitRess_Materialien[GWP '[kg CO2-Äqu./kg']])*Baukon[[#This Row],[Masse '[kg/m²'] Referenz]]</f>
        <v>49.151309772451924</v>
      </c>
      <c r="AH61" s="37">
        <f>_xlfn.XLOOKUP(Baukon[[#This Row],[LCA Datensatz]],LeitRess_Materialien[Material_UUID],LeitRess_Materialien[GWP '[kg CO2-Äqu./kg']])*Baukon[[#This Row],[Masse '[kg/m²'] min]]</f>
        <v>49.151309772451924</v>
      </c>
      <c r="AI61" s="37">
        <f>_xlfn.XLOOKUP(Baukon[[#This Row],[LCA Datensatz]],LeitRess_Materialien[Material_UUID],LeitRess_Materialien[GWP '[kg CO2-Äqu./kg']])*Baukon[[#This Row],[Masse '[kg/m²'] max]]</f>
        <v>49.151309772451924</v>
      </c>
      <c r="AJ61" s="37">
        <f>_xlfn.XLOOKUP(Baukon[[#This Row],[LCA Datensatz]],LeitRess_Materialien[Material_UUID],LeitRess_Materialien[PENRT '[MJ/kg']])*Baukon[[#This Row],[Masse '[kg/m²'] Referenz]]</f>
        <v>708.74113592098593</v>
      </c>
      <c r="AK61" s="37">
        <f>_xlfn.XLOOKUP(Baukon[[#This Row],[LCA Datensatz]],LeitRess_Materialien[Material_UUID],LeitRess_Materialien[PENRT '[MJ/kg']])*Baukon[[#This Row],[Masse '[kg/m²'] min]]</f>
        <v>708.74113592098593</v>
      </c>
      <c r="AL61" s="37">
        <f>_xlfn.XLOOKUP(Baukon[[#This Row],[LCA Datensatz]],LeitRess_Materialien[Material_UUID],LeitRess_Materialien[PENRT '[MJ/kg']])*Baukon[[#This Row],[Masse '[kg/m²'] max]]</f>
        <v>708.74113592098593</v>
      </c>
      <c r="AM61" s="37" t="e">
        <f>_xlfn.XLOOKUP(Baukon[[#This Row],[LCA Datensatz]],LeitRess_Materialien[Material_UUID],#REF!)*Baukon[[#This Row],[Masse '[kg/m²'] Referenz]]</f>
        <v>#REF!</v>
      </c>
      <c r="AN61" s="37" t="e">
        <f>_xlfn.XLOOKUP(Baukon[[#This Row],[LCA Datensatz]],LeitRess_Materialien[Material_UUID],#REF!)*Baukon[[#This Row],[Masse '[kg/m²'] min]]</f>
        <v>#REF!</v>
      </c>
      <c r="AO61" s="37" t="e">
        <f>_xlfn.XLOOKUP(Baukon[[#This Row],[LCA Datensatz]],LeitRess_Materialien[Material_UUID],#REF!)*Baukon[[#This Row],[Masse '[kg/m²'] max]]</f>
        <v>#REF!</v>
      </c>
      <c r="AP61" s="37">
        <f>_xlfn.XLOOKUP(Baukon[[#This Row],[LCA Datensatz]],LeitRess_Materialien[Material_UUID],LeitRess_Materialien[WDP '[m³ weighted water/kg']])*Baukon[[#This Row],[Masse '[kg/m²'] Referenz]]</f>
        <v>15.955298256384834</v>
      </c>
      <c r="AQ61" s="37">
        <f>_xlfn.XLOOKUP(Baukon[[#This Row],[LCA Datensatz]],LeitRess_Materialien[Material_UUID],LeitRess_Materialien[WDP '[m³ weighted water/kg']])*Baukon[[#This Row],[Masse '[kg/m²'] min]]</f>
        <v>15.955298256384834</v>
      </c>
      <c r="AR61" s="37">
        <f>_xlfn.XLOOKUP(Baukon[[#This Row],[LCA Datensatz]],LeitRess_Materialien[Material_UUID],LeitRess_Materialien[WDP '[m³ weighted water/kg']])*Baukon[[#This Row],[Masse '[kg/m²'] max]]</f>
        <v>15.955298256384834</v>
      </c>
      <c r="AS61" s="39">
        <f>Baukon[[#This Row],[GWP '[kg CO2-Äqu./m²'] Referenz]]/'Ausgabe Tabellen'!$C$21+Baukon[[#This Row],[PENRT '[MJ/m²'] Referenz]]/'Ausgabe Tabellen'!$C$22+Baukon[[#This Row],[RMI '[kg Primärrohstoffe/m²'] Referenz]]/'Ausgabe Tabellen'!$C$23+Baukon[[#This Row],[WDP '[m² weighted water/m²'] Referenz]]/'Ausgabe Tabellen'!$C$24</f>
        <v>1.2963895241447703E-2</v>
      </c>
      <c r="AT61" s="39">
        <f>Baukon[[#This Row],[GWP '[kg CO2-Äqu./m²'] min]]/'Ausgabe Tabellen'!$C$21+Baukon[[#This Row],[PENRT '[MJ/m²'] min]]/'Ausgabe Tabellen'!$C$22+Baukon[[#This Row],[RMI '[kg Primärrohstoffe/m²'] min]]/'Ausgabe Tabellen'!$C$23+Baukon[[#This Row],[WDP '[m² weighted water/m²'] min]]/'Ausgabe Tabellen'!$C$24</f>
        <v>1.2963895241447703E-2</v>
      </c>
      <c r="AU61" s="39">
        <f>Baukon[[#This Row],[GWP '[kg CO2-Äqu./m²'] max]]/'Ausgabe Tabellen'!$C$21+Baukon[[#This Row],[PENRT '[MJ/m²'] max]]/'Ausgabe Tabellen'!$C$22+Baukon[[#This Row],[RMI '[kg Primärrohstoffe/m²'] max]]/'Ausgabe Tabellen'!$C$23+Baukon[[#This Row],[WDP '[m² weighted water/m²'] max]]/'Ausgabe Tabellen'!$C$24</f>
        <v>1.2963895241447703E-2</v>
      </c>
    </row>
    <row r="62" spans="1:47" s="24" customFormat="1" ht="15.75" x14ac:dyDescent="0.5">
      <c r="A62" s="36" t="s">
        <v>87</v>
      </c>
      <c r="B62" s="36" t="s">
        <v>292</v>
      </c>
      <c r="C62" s="36">
        <v>9</v>
      </c>
      <c r="D62" s="36" t="s">
        <v>42</v>
      </c>
      <c r="E62" s="36" t="str">
        <f>Baukon[[#This Row],[Variante Nummer]]&amp;". "&amp;Baukon[[#This Row],[Name Baukonstruktion]]&amp;" | " &amp;Baukon[[#This Row],[Variante Name]]</f>
        <v>9. Stampflehmwand | -</v>
      </c>
      <c r="F62" s="36" t="s">
        <v>292</v>
      </c>
      <c r="G62" s="36" t="s">
        <v>292</v>
      </c>
      <c r="H62" s="36" t="s">
        <v>225</v>
      </c>
      <c r="I62" s="41">
        <v>300</v>
      </c>
      <c r="J62" s="36">
        <f>IF(Baukon[[#This Row],[Material ist Dämmstoff?]]="ja",Baukon[[#This Row],[Dicke '[mm'] Referenz]]+_xlfn.XLOOKUP(RIGHT(Baukon[[#Headers],[Dicke '[mm'] min]],3),Dämmstoffvarianten[Variante],Dämmstoffvarianten[Differenz Dämmstoffedicke zu Referenz '[mm']]),Baukon[[#This Row],[Dicke '[mm'] Referenz]])</f>
        <v>300</v>
      </c>
      <c r="K62" s="36">
        <f>IF(Baukon[[#This Row],[Material ist Dämmstoff?]]="ja",Baukon[[#This Row],[Dicke '[mm'] Referenz]]+_xlfn.XLOOKUP(RIGHT(Baukon[[#Headers],[Dicke '[mm'] max]],3),Dämmstoffvarianten[Variante],Dämmstoffvarianten[Differenz Dämmstoffedicke zu Referenz '[mm']]),Baukon[[#This Row],[Dicke '[mm'] Referenz]])</f>
        <v>300</v>
      </c>
      <c r="L62" s="43">
        <v>1</v>
      </c>
      <c r="M62" s="41"/>
      <c r="N62" s="103">
        <f>IFERROR(Baukon[[#This Row],[Dicke '[mm'] Referenz]]/1000*Baukon[[#This Row],[Flächenanteil '[%']]],"")</f>
        <v>0.3</v>
      </c>
      <c r="O62" s="103">
        <f>IFERROR(Baukon[[#This Row],[Dicke '[mm'] min]]/1000*Baukon[[#This Row],[Flächenanteil '[%']]],"")</f>
        <v>0.3</v>
      </c>
      <c r="P62" s="103">
        <f>IFERROR(Baukon[[#This Row],[Dicke '[mm'] max]]/1000*Baukon[[#This Row],[Flächenanteil '[%']]],"")</f>
        <v>0.3</v>
      </c>
      <c r="Q62"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600</v>
      </c>
      <c r="R62"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600</v>
      </c>
      <c r="S62"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600</v>
      </c>
      <c r="T62" s="42"/>
      <c r="U62" s="103" t="str">
        <f>_xlfn.XLOOKUP(Baukon[[#This Row],[Material]],LeitRess_Materialien[Name],LeitRess_Materialien[Material_UUID])</f>
        <v>59622fc0-d719-43bf-a16b-ae924ae0d276</v>
      </c>
      <c r="V62" s="42">
        <f>_xlfn.XLOOKUP(Baukon[[#This Row],[LCA Datensatz]],LeitRess_Materialien[Material_UUID],LeitRess_Materialien[Rohdichte_'[kg/m3']])</f>
        <v>2000</v>
      </c>
      <c r="W62" s="42">
        <f>_xlfn.XLOOKUP(Baukon[[#This Row],[LCA Datensatz]],LeitRess_Materialien[Material_UUID],LeitRess_Materialien[Flächengewicht_'[kg/m2']])</f>
        <v>0</v>
      </c>
      <c r="X62" s="104">
        <f>_xlfn.XLOOKUP(Baukon[[#This Row],[LCA Datensatz]],LeitRess_Materialien[Material_UUID],LeitRess_Materialien[Längengewicht_'[kg/m']])</f>
        <v>0</v>
      </c>
      <c r="Y62" s="104">
        <f>_xlfn.XLOOKUP(Baukon[[#This Row],[LCA Datensatz]],LeitRess_Materialien[Material_UUID],LeitRess_Materialien[lambda_'[W/mK']])</f>
        <v>1.1299999999999999</v>
      </c>
      <c r="Z62" s="103">
        <f>IFERROR(Baukon[[#This Row],[Dicke '[mm'] Referenz]]/Baukon[[#This Row],[lambda_'[W/mK']]],"")</f>
        <v>265.48672566371681</v>
      </c>
      <c r="AA62" s="37">
        <f>_xlfn.XLOOKUP(Baukon[[#This Row],[LCA Datensatz]],LeitRess_Materialien[Material_UUID],LeitRess_Materialien[RMI '[kg Primärrohstoffe / kg']])*Baukon[[#This Row],[Masse '[kg/m²'] Referenz]]</f>
        <v>651.44287653204594</v>
      </c>
      <c r="AB62" s="37">
        <f>_xlfn.XLOOKUP(Baukon[[#This Row],[LCA Datensatz]],LeitRess_Materialien[Material_UUID],LeitRess_Materialien[RMI '[kg Primärrohstoffe / kg']])*Baukon[[#This Row],[Masse '[kg/m²'] min]]</f>
        <v>651.44287653204594</v>
      </c>
      <c r="AC62" s="37">
        <f>_xlfn.XLOOKUP(Baukon[[#This Row],[LCA Datensatz]],LeitRess_Materialien[Material_UUID],LeitRess_Materialien[RMI '[kg Primärrohstoffe / kg']])*Baukon[[#This Row],[Masse '[kg/m²'] max]]</f>
        <v>651.44287653204594</v>
      </c>
      <c r="AD62" s="37">
        <f>_xlfn.XLOOKUP(Baukon[[#This Row],[LCA Datensatz]],LeitRess_Materialien[Material_UUID],LeitRess_Materialien[TMR '[kg Gesamtmaterialaufwand/kg']])*Baukon[[#This Row],[Masse '[kg/m²'] Referenz]]</f>
        <v>1455.4725517806539</v>
      </c>
      <c r="AE62" s="37">
        <f>_xlfn.XLOOKUP(Baukon[[#This Row],[LCA Datensatz]],LeitRess_Materialien[Material_UUID],LeitRess_Materialien[TMR '[kg Gesamtmaterialaufwand/kg']])*Baukon[[#This Row],[Masse '[kg/m²'] min]]</f>
        <v>1455.4725517806539</v>
      </c>
      <c r="AF62" s="37">
        <f>_xlfn.XLOOKUP(Baukon[[#This Row],[LCA Datensatz]],LeitRess_Materialien[Material_UUID],LeitRess_Materialien[TMR '[kg Gesamtmaterialaufwand/kg']])*Baukon[[#This Row],[Masse '[kg/m²'] max]]</f>
        <v>1455.4725517806539</v>
      </c>
      <c r="AG62" s="37">
        <f>_xlfn.XLOOKUP(Baukon[[#This Row],[LCA Datensatz]],LeitRess_Materialien[Material_UUID],LeitRess_Materialien[GWP '[kg CO2-Äqu./kg']])*Baukon[[#This Row],[Masse '[kg/m²'] Referenz]]</f>
        <v>18.001926368714638</v>
      </c>
      <c r="AH62" s="37">
        <f>_xlfn.XLOOKUP(Baukon[[#This Row],[LCA Datensatz]],LeitRess_Materialien[Material_UUID],LeitRess_Materialien[GWP '[kg CO2-Äqu./kg']])*Baukon[[#This Row],[Masse '[kg/m²'] min]]</f>
        <v>18.001926368714638</v>
      </c>
      <c r="AI62" s="37">
        <f>_xlfn.XLOOKUP(Baukon[[#This Row],[LCA Datensatz]],LeitRess_Materialien[Material_UUID],LeitRess_Materialien[GWP '[kg CO2-Äqu./kg']])*Baukon[[#This Row],[Masse '[kg/m²'] max]]</f>
        <v>18.001926368714638</v>
      </c>
      <c r="AJ62" s="37">
        <f>_xlfn.XLOOKUP(Baukon[[#This Row],[LCA Datensatz]],LeitRess_Materialien[Material_UUID],LeitRess_Materialien[PENRT '[MJ/kg']])*Baukon[[#This Row],[Masse '[kg/m²'] Referenz]]</f>
        <v>243.10411423212778</v>
      </c>
      <c r="AK62" s="37">
        <f>_xlfn.XLOOKUP(Baukon[[#This Row],[LCA Datensatz]],LeitRess_Materialien[Material_UUID],LeitRess_Materialien[PENRT '[MJ/kg']])*Baukon[[#This Row],[Masse '[kg/m²'] min]]</f>
        <v>243.10411423212778</v>
      </c>
      <c r="AL62" s="37">
        <f>_xlfn.XLOOKUP(Baukon[[#This Row],[LCA Datensatz]],LeitRess_Materialien[Material_UUID],LeitRess_Materialien[PENRT '[MJ/kg']])*Baukon[[#This Row],[Masse '[kg/m²'] max]]</f>
        <v>243.10411423212778</v>
      </c>
      <c r="AM62" s="37" t="e">
        <f>_xlfn.XLOOKUP(Baukon[[#This Row],[LCA Datensatz]],LeitRess_Materialien[Material_UUID],#REF!)*Baukon[[#This Row],[Masse '[kg/m²'] Referenz]]</f>
        <v>#REF!</v>
      </c>
      <c r="AN62" s="37" t="e">
        <f>_xlfn.XLOOKUP(Baukon[[#This Row],[LCA Datensatz]],LeitRess_Materialien[Material_UUID],#REF!)*Baukon[[#This Row],[Masse '[kg/m²'] min]]</f>
        <v>#REF!</v>
      </c>
      <c r="AO62" s="37" t="e">
        <f>_xlfn.XLOOKUP(Baukon[[#This Row],[LCA Datensatz]],LeitRess_Materialien[Material_UUID],#REF!)*Baukon[[#This Row],[Masse '[kg/m²'] max]]</f>
        <v>#REF!</v>
      </c>
      <c r="AP62" s="37">
        <f>_xlfn.XLOOKUP(Baukon[[#This Row],[LCA Datensatz]],LeitRess_Materialien[Material_UUID],LeitRess_Materialien[WDP '[m³ weighted water/kg']])*Baukon[[#This Row],[Masse '[kg/m²'] Referenz]]</f>
        <v>52.359780062062384</v>
      </c>
      <c r="AQ62" s="37">
        <f>_xlfn.XLOOKUP(Baukon[[#This Row],[LCA Datensatz]],LeitRess_Materialien[Material_UUID],LeitRess_Materialien[WDP '[m³ weighted water/kg']])*Baukon[[#This Row],[Masse '[kg/m²'] min]]</f>
        <v>52.359780062062384</v>
      </c>
      <c r="AR62" s="37">
        <f>_xlfn.XLOOKUP(Baukon[[#This Row],[LCA Datensatz]],LeitRess_Materialien[Material_UUID],LeitRess_Materialien[WDP '[m³ weighted water/kg']])*Baukon[[#This Row],[Masse '[kg/m²'] max]]</f>
        <v>52.359780062062384</v>
      </c>
      <c r="AS62" s="39">
        <f>Baukon[[#This Row],[GWP '[kg CO2-Äqu./m²'] Referenz]]/'Ausgabe Tabellen'!$C$21+Baukon[[#This Row],[PENRT '[MJ/m²'] Referenz]]/'Ausgabe Tabellen'!$C$22+Baukon[[#This Row],[RMI '[kg Primärrohstoffe/m²'] Referenz]]/'Ausgabe Tabellen'!$C$23+Baukon[[#This Row],[WDP '[m² weighted water/m²'] Referenz]]/'Ausgabe Tabellen'!$C$24</f>
        <v>2.5853116174818922E-2</v>
      </c>
      <c r="AT62" s="39">
        <f>Baukon[[#This Row],[GWP '[kg CO2-Äqu./m²'] min]]/'Ausgabe Tabellen'!$C$21+Baukon[[#This Row],[PENRT '[MJ/m²'] min]]/'Ausgabe Tabellen'!$C$22+Baukon[[#This Row],[RMI '[kg Primärrohstoffe/m²'] min]]/'Ausgabe Tabellen'!$C$23+Baukon[[#This Row],[WDP '[m² weighted water/m²'] min]]/'Ausgabe Tabellen'!$C$24</f>
        <v>2.5853116174818922E-2</v>
      </c>
      <c r="AU62" s="39">
        <f>Baukon[[#This Row],[GWP '[kg CO2-Äqu./m²'] max]]/'Ausgabe Tabellen'!$C$21+Baukon[[#This Row],[PENRT '[MJ/m²'] max]]/'Ausgabe Tabellen'!$C$22+Baukon[[#This Row],[RMI '[kg Primärrohstoffe/m²'] max]]/'Ausgabe Tabellen'!$C$23+Baukon[[#This Row],[WDP '[m² weighted water/m²'] max]]/'Ausgabe Tabellen'!$C$24</f>
        <v>2.5853116174818922E-2</v>
      </c>
    </row>
    <row r="63" spans="1:47" s="24" customFormat="1" ht="15.75" x14ac:dyDescent="0.5">
      <c r="A63" s="36" t="s">
        <v>110</v>
      </c>
      <c r="B63" s="36" t="s">
        <v>318</v>
      </c>
      <c r="C63" s="36">
        <v>3</v>
      </c>
      <c r="D63" s="36" t="s">
        <v>312</v>
      </c>
      <c r="E63" s="36" t="str">
        <f>Baukon[[#This Row],[Variante Nummer]]&amp;". "&amp;Baukon[[#This Row],[Name Baukonstruktion]]&amp;" | " &amp;Baukon[[#This Row],[Variante Name]]</f>
        <v>3. Holzdecke | Referenz MiWo</v>
      </c>
      <c r="F63" s="36" t="s">
        <v>321</v>
      </c>
      <c r="G63" s="36" t="s">
        <v>256</v>
      </c>
      <c r="H63" s="36" t="s">
        <v>225</v>
      </c>
      <c r="I63" s="41">
        <v>60</v>
      </c>
      <c r="J63" s="36">
        <f>IF(Baukon[[#This Row],[Material ist Dämmstoff?]]="ja",Baukon[[#This Row],[Dicke '[mm'] Referenz]]+_xlfn.XLOOKUP(RIGHT(Baukon[[#Headers],[Dicke '[mm'] min]],3),Dämmstoffvarianten[Variante],Dämmstoffvarianten[Differenz Dämmstoffedicke zu Referenz '[mm']]),Baukon[[#This Row],[Dicke '[mm'] Referenz]])</f>
        <v>60</v>
      </c>
      <c r="K63" s="36">
        <f>IF(Baukon[[#This Row],[Material ist Dämmstoff?]]="ja",Baukon[[#This Row],[Dicke '[mm'] Referenz]]+_xlfn.XLOOKUP(RIGHT(Baukon[[#Headers],[Dicke '[mm'] max]],3),Dämmstoffvarianten[Variante],Dämmstoffvarianten[Differenz Dämmstoffedicke zu Referenz '[mm']]),Baukon[[#This Row],[Dicke '[mm'] Referenz]])</f>
        <v>60</v>
      </c>
      <c r="L63" s="43">
        <v>1</v>
      </c>
      <c r="M63" s="41"/>
      <c r="N63" s="103">
        <f>IFERROR(Baukon[[#This Row],[Dicke '[mm'] Referenz]]/1000*Baukon[[#This Row],[Flächenanteil '[%']]],"")</f>
        <v>0.06</v>
      </c>
      <c r="O63" s="103">
        <f>IFERROR(Baukon[[#This Row],[Dicke '[mm'] min]]/1000*Baukon[[#This Row],[Flächenanteil '[%']]],"")</f>
        <v>0.06</v>
      </c>
      <c r="P63" s="103">
        <f>IFERROR(Baukon[[#This Row],[Dicke '[mm'] max]]/1000*Baukon[[#This Row],[Flächenanteil '[%']]],"")</f>
        <v>0.06</v>
      </c>
      <c r="Q63"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144</v>
      </c>
      <c r="R63"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144</v>
      </c>
      <c r="S63"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144</v>
      </c>
      <c r="T63" s="42" t="s">
        <v>226</v>
      </c>
      <c r="U63" s="103" t="str">
        <f>_xlfn.XLOOKUP(Baukon[[#This Row],[Material]],LeitRess_Materialien[Name],LeitRess_Materialien[Material_UUID])</f>
        <v>0973f221-2284-4892-ae3d-1b8c2986b6dd</v>
      </c>
      <c r="V63" s="42">
        <f>_xlfn.XLOOKUP(Baukon[[#This Row],[LCA Datensatz]],LeitRess_Materialien[Material_UUID],LeitRess_Materialien[Rohdichte_'[kg/m3']])</f>
        <v>2400</v>
      </c>
      <c r="W63" s="42">
        <f>_xlfn.XLOOKUP(Baukon[[#This Row],[LCA Datensatz]],LeitRess_Materialien[Material_UUID],LeitRess_Materialien[Flächengewicht_'[kg/m2']])</f>
        <v>0</v>
      </c>
      <c r="X63" s="104">
        <f>_xlfn.XLOOKUP(Baukon[[#This Row],[LCA Datensatz]],LeitRess_Materialien[Material_UUID],LeitRess_Materialien[Längengewicht_'[kg/m']])</f>
        <v>0</v>
      </c>
      <c r="Y63" s="104">
        <f>_xlfn.XLOOKUP(Baukon[[#This Row],[LCA Datensatz]],LeitRess_Materialien[Material_UUID],LeitRess_Materialien[lambda_'[W/mK']])</f>
        <v>1.4</v>
      </c>
      <c r="Z63" s="103">
        <f>IFERROR(Baukon[[#This Row],[Dicke '[mm'] Referenz]]/Baukon[[#This Row],[lambda_'[W/mK']]],"")</f>
        <v>42.857142857142861</v>
      </c>
      <c r="AA63" s="37">
        <f>_xlfn.XLOOKUP(Baukon[[#This Row],[LCA Datensatz]],LeitRess_Materialien[Material_UUID],LeitRess_Materialien[RMI '[kg Primärrohstoffe / kg']])*Baukon[[#This Row],[Masse '[kg/m²'] Referenz]]</f>
        <v>173.7555427006632</v>
      </c>
      <c r="AB63" s="37">
        <f>_xlfn.XLOOKUP(Baukon[[#This Row],[LCA Datensatz]],LeitRess_Materialien[Material_UUID],LeitRess_Materialien[RMI '[kg Primärrohstoffe / kg']])*Baukon[[#This Row],[Masse '[kg/m²'] min]]</f>
        <v>173.7555427006632</v>
      </c>
      <c r="AC63" s="37">
        <f>_xlfn.XLOOKUP(Baukon[[#This Row],[LCA Datensatz]],LeitRess_Materialien[Material_UUID],LeitRess_Materialien[RMI '[kg Primärrohstoffe / kg']])*Baukon[[#This Row],[Masse '[kg/m²'] max]]</f>
        <v>173.7555427006632</v>
      </c>
      <c r="AD63" s="37">
        <f>_xlfn.XLOOKUP(Baukon[[#This Row],[LCA Datensatz]],LeitRess_Materialien[Material_UUID],LeitRess_Materialien[TMR '[kg Gesamtmaterialaufwand/kg']])*Baukon[[#This Row],[Masse '[kg/m²'] Referenz]]</f>
        <v>186.23830176138387</v>
      </c>
      <c r="AE63" s="37">
        <f>_xlfn.XLOOKUP(Baukon[[#This Row],[LCA Datensatz]],LeitRess_Materialien[Material_UUID],LeitRess_Materialien[TMR '[kg Gesamtmaterialaufwand/kg']])*Baukon[[#This Row],[Masse '[kg/m²'] min]]</f>
        <v>186.23830176138387</v>
      </c>
      <c r="AF63" s="37">
        <f>_xlfn.XLOOKUP(Baukon[[#This Row],[LCA Datensatz]],LeitRess_Materialien[Material_UUID],LeitRess_Materialien[TMR '[kg Gesamtmaterialaufwand/kg']])*Baukon[[#This Row],[Masse '[kg/m²'] max]]</f>
        <v>186.23830176138387</v>
      </c>
      <c r="AG63" s="37">
        <f>_xlfn.XLOOKUP(Baukon[[#This Row],[LCA Datensatz]],LeitRess_Materialien[Material_UUID],LeitRess_Materialien[GWP '[kg CO2-Äqu./kg']])*Baukon[[#This Row],[Masse '[kg/m²'] Referenz]]</f>
        <v>33.484183097839633</v>
      </c>
      <c r="AH63" s="37">
        <f>_xlfn.XLOOKUP(Baukon[[#This Row],[LCA Datensatz]],LeitRess_Materialien[Material_UUID],LeitRess_Materialien[GWP '[kg CO2-Äqu./kg']])*Baukon[[#This Row],[Masse '[kg/m²'] min]]</f>
        <v>33.484183097839633</v>
      </c>
      <c r="AI63" s="37">
        <f>_xlfn.XLOOKUP(Baukon[[#This Row],[LCA Datensatz]],LeitRess_Materialien[Material_UUID],LeitRess_Materialien[GWP '[kg CO2-Äqu./kg']])*Baukon[[#This Row],[Masse '[kg/m²'] max]]</f>
        <v>33.484183097839633</v>
      </c>
      <c r="AJ63" s="37">
        <f>_xlfn.XLOOKUP(Baukon[[#This Row],[LCA Datensatz]],LeitRess_Materialien[Material_UUID],LeitRess_Materialien[PENRT '[MJ/kg']])*Baukon[[#This Row],[Masse '[kg/m²'] Referenz]]</f>
        <v>258.6587129254512</v>
      </c>
      <c r="AK63" s="37">
        <f>_xlfn.XLOOKUP(Baukon[[#This Row],[LCA Datensatz]],LeitRess_Materialien[Material_UUID],LeitRess_Materialien[PENRT '[MJ/kg']])*Baukon[[#This Row],[Masse '[kg/m²'] min]]</f>
        <v>258.6587129254512</v>
      </c>
      <c r="AL63" s="37">
        <f>_xlfn.XLOOKUP(Baukon[[#This Row],[LCA Datensatz]],LeitRess_Materialien[Material_UUID],LeitRess_Materialien[PENRT '[MJ/kg']])*Baukon[[#This Row],[Masse '[kg/m²'] max]]</f>
        <v>258.6587129254512</v>
      </c>
      <c r="AM63" s="37" t="e">
        <f>_xlfn.XLOOKUP(Baukon[[#This Row],[LCA Datensatz]],LeitRess_Materialien[Material_UUID],#REF!)*Baukon[[#This Row],[Masse '[kg/m²'] Referenz]]</f>
        <v>#REF!</v>
      </c>
      <c r="AN63" s="37" t="e">
        <f>_xlfn.XLOOKUP(Baukon[[#This Row],[LCA Datensatz]],LeitRess_Materialien[Material_UUID],#REF!)*Baukon[[#This Row],[Masse '[kg/m²'] min]]</f>
        <v>#REF!</v>
      </c>
      <c r="AO63" s="37" t="e">
        <f>_xlfn.XLOOKUP(Baukon[[#This Row],[LCA Datensatz]],LeitRess_Materialien[Material_UUID],#REF!)*Baukon[[#This Row],[Masse '[kg/m²'] max]]</f>
        <v>#REF!</v>
      </c>
      <c r="AP63" s="37">
        <f>_xlfn.XLOOKUP(Baukon[[#This Row],[LCA Datensatz]],LeitRess_Materialien[Material_UUID],LeitRess_Materialien[WDP '[m³ weighted water/kg']])*Baukon[[#This Row],[Masse '[kg/m²'] Referenz]]</f>
        <v>4.81796323001545</v>
      </c>
      <c r="AQ63" s="37">
        <f>_xlfn.XLOOKUP(Baukon[[#This Row],[LCA Datensatz]],LeitRess_Materialien[Material_UUID],LeitRess_Materialien[WDP '[m³ weighted water/kg']])*Baukon[[#This Row],[Masse '[kg/m²'] min]]</f>
        <v>4.81796323001545</v>
      </c>
      <c r="AR63" s="37">
        <f>_xlfn.XLOOKUP(Baukon[[#This Row],[LCA Datensatz]],LeitRess_Materialien[Material_UUID],LeitRess_Materialien[WDP '[m³ weighted water/kg']])*Baukon[[#This Row],[Masse '[kg/m²'] max]]</f>
        <v>4.81796323001545</v>
      </c>
      <c r="AS63" s="39">
        <f>Baukon[[#This Row],[GWP '[kg CO2-Äqu./m²'] Referenz]]/'Ausgabe Tabellen'!$C$21+Baukon[[#This Row],[PENRT '[MJ/m²'] Referenz]]/'Ausgabe Tabellen'!$C$22+Baukon[[#This Row],[RMI '[kg Primärrohstoffe/m²'] Referenz]]/'Ausgabe Tabellen'!$C$23+Baukon[[#This Row],[WDP '[m² weighted water/m²'] Referenz]]/'Ausgabe Tabellen'!$C$24</f>
        <v>1.0077054389940488E-2</v>
      </c>
      <c r="AT63" s="39">
        <f>Baukon[[#This Row],[GWP '[kg CO2-Äqu./m²'] min]]/'Ausgabe Tabellen'!$C$21+Baukon[[#This Row],[PENRT '[MJ/m²'] min]]/'Ausgabe Tabellen'!$C$22+Baukon[[#This Row],[RMI '[kg Primärrohstoffe/m²'] min]]/'Ausgabe Tabellen'!$C$23+Baukon[[#This Row],[WDP '[m² weighted water/m²'] min]]/'Ausgabe Tabellen'!$C$24</f>
        <v>1.0077054389940488E-2</v>
      </c>
      <c r="AU63" s="39">
        <f>Baukon[[#This Row],[GWP '[kg CO2-Äqu./m²'] max]]/'Ausgabe Tabellen'!$C$21+Baukon[[#This Row],[PENRT '[MJ/m²'] max]]/'Ausgabe Tabellen'!$C$22+Baukon[[#This Row],[RMI '[kg Primärrohstoffe/m²'] max]]/'Ausgabe Tabellen'!$C$23+Baukon[[#This Row],[WDP '[m² weighted water/m²'] max]]/'Ausgabe Tabellen'!$C$24</f>
        <v>1.0077054389940488E-2</v>
      </c>
    </row>
    <row r="64" spans="1:47" s="24" customFormat="1" ht="15.75" x14ac:dyDescent="0.5">
      <c r="A64" s="36" t="s">
        <v>110</v>
      </c>
      <c r="B64" s="36" t="s">
        <v>318</v>
      </c>
      <c r="C64" s="36">
        <v>3</v>
      </c>
      <c r="D64" s="36" t="s">
        <v>312</v>
      </c>
      <c r="E64" s="36" t="str">
        <f>Baukon[[#This Row],[Variante Nummer]]&amp;". "&amp;Baukon[[#This Row],[Name Baukonstruktion]]&amp;" | " &amp;Baukon[[#This Row],[Variante Name]]</f>
        <v>3. Holzdecke | Referenz MiWo</v>
      </c>
      <c r="F64" s="36" t="s">
        <v>319</v>
      </c>
      <c r="G64" s="36" t="s">
        <v>282</v>
      </c>
      <c r="H64" s="36" t="s">
        <v>225</v>
      </c>
      <c r="I64" s="41" t="s">
        <v>368</v>
      </c>
      <c r="J64" s="36" t="str">
        <f>IF(Baukon[[#This Row],[Material ist Dämmstoff?]]="ja",Baukon[[#This Row],[Dicke '[mm'] Referenz]]+_xlfn.XLOOKUP(RIGHT(Baukon[[#Headers],[Dicke '[mm'] min]],3),Dämmstoffvarianten[Variante],Dämmstoffvarianten[Differenz Dämmstoffedicke zu Referenz '[mm']]),Baukon[[#This Row],[Dicke '[mm'] Referenz]])</f>
        <v>0,2</v>
      </c>
      <c r="K64" s="36" t="str">
        <f>IF(Baukon[[#This Row],[Material ist Dämmstoff?]]="ja",Baukon[[#This Row],[Dicke '[mm'] Referenz]]+_xlfn.XLOOKUP(RIGHT(Baukon[[#Headers],[Dicke '[mm'] max]],3),Dämmstoffvarianten[Variante],Dämmstoffvarianten[Differenz Dämmstoffedicke zu Referenz '[mm']]),Baukon[[#This Row],[Dicke '[mm'] Referenz]])</f>
        <v>0,2</v>
      </c>
      <c r="L64" s="43">
        <v>1</v>
      </c>
      <c r="M64" s="41"/>
      <c r="N64" s="103">
        <f>IFERROR(Baukon[[#This Row],[Dicke '[mm'] Referenz]]/1000*Baukon[[#This Row],[Flächenanteil '[%']]],"")</f>
        <v>2.0000000000000001E-4</v>
      </c>
      <c r="O64" s="103">
        <f>IFERROR(Baukon[[#This Row],[Dicke '[mm'] min]]/1000*Baukon[[#This Row],[Flächenanteil '[%']]],"")</f>
        <v>2.0000000000000001E-4</v>
      </c>
      <c r="P64" s="103">
        <f>IFERROR(Baukon[[#This Row],[Dicke '[mm'] max]]/1000*Baukon[[#This Row],[Flächenanteil '[%']]],"")</f>
        <v>2.0000000000000001E-4</v>
      </c>
      <c r="Q64"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0.27800000000000002</v>
      </c>
      <c r="R64"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0.27800000000000002</v>
      </c>
      <c r="S64"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0.27800000000000002</v>
      </c>
      <c r="T64" s="42" t="s">
        <v>226</v>
      </c>
      <c r="U64" s="103" t="str">
        <f>_xlfn.XLOOKUP(Baukon[[#This Row],[Material]],LeitRess_Materialien[Name],LeitRess_Materialien[Material_UUID])</f>
        <v>99792cbc-c5f4-4d2d-bc9e-3790509891a0</v>
      </c>
      <c r="V64" s="42">
        <f>_xlfn.XLOOKUP(Baukon[[#This Row],[LCA Datensatz]],LeitRess_Materialien[Material_UUID],LeitRess_Materialien[Rohdichte_'[kg/m3']])</f>
        <v>1390</v>
      </c>
      <c r="W64" s="42">
        <f>_xlfn.XLOOKUP(Baukon[[#This Row],[LCA Datensatz]],LeitRess_Materialien[Material_UUID],LeitRess_Materialien[Flächengewicht_'[kg/m2']])</f>
        <v>0.2</v>
      </c>
      <c r="X64" s="104">
        <f>_xlfn.XLOOKUP(Baukon[[#This Row],[LCA Datensatz]],LeitRess_Materialien[Material_UUID],LeitRess_Materialien[Längengewicht_'[kg/m']])</f>
        <v>0</v>
      </c>
      <c r="Y64" s="104">
        <f>_xlfn.XLOOKUP(Baukon[[#This Row],[LCA Datensatz]],LeitRess_Materialien[Material_UUID],LeitRess_Materialien[lambda_'[W/mK']])</f>
        <v>0.17</v>
      </c>
      <c r="Z64" s="103">
        <f>IFERROR(Baukon[[#This Row],[Dicke '[mm'] Referenz]]/Baukon[[#This Row],[lambda_'[W/mK']]],"")</f>
        <v>1.1764705882352942</v>
      </c>
      <c r="AA64" s="37">
        <f>_xlfn.XLOOKUP(Baukon[[#This Row],[LCA Datensatz]],LeitRess_Materialien[Material_UUID],LeitRess_Materialien[RMI '[kg Primärrohstoffe / kg']])*Baukon[[#This Row],[Masse '[kg/m²'] Referenz]]</f>
        <v>0.56566490833487659</v>
      </c>
      <c r="AB64" s="37">
        <f>_xlfn.XLOOKUP(Baukon[[#This Row],[LCA Datensatz]],LeitRess_Materialien[Material_UUID],LeitRess_Materialien[RMI '[kg Primärrohstoffe / kg']])*Baukon[[#This Row],[Masse '[kg/m²'] min]]</f>
        <v>0.56566490833487659</v>
      </c>
      <c r="AC64" s="37">
        <f>_xlfn.XLOOKUP(Baukon[[#This Row],[LCA Datensatz]],LeitRess_Materialien[Material_UUID],LeitRess_Materialien[RMI '[kg Primärrohstoffe / kg']])*Baukon[[#This Row],[Masse '[kg/m²'] max]]</f>
        <v>0.56566490833487659</v>
      </c>
      <c r="AD64" s="37">
        <f>_xlfn.XLOOKUP(Baukon[[#This Row],[LCA Datensatz]],LeitRess_Materialien[Material_UUID],LeitRess_Materialien[TMR '[kg Gesamtmaterialaufwand/kg']])*Baukon[[#This Row],[Masse '[kg/m²'] Referenz]]</f>
        <v>0.70605426967153773</v>
      </c>
      <c r="AE64" s="37">
        <f>_xlfn.XLOOKUP(Baukon[[#This Row],[LCA Datensatz]],LeitRess_Materialien[Material_UUID],LeitRess_Materialien[TMR '[kg Gesamtmaterialaufwand/kg']])*Baukon[[#This Row],[Masse '[kg/m²'] min]]</f>
        <v>0.70605426967153773</v>
      </c>
      <c r="AF64" s="37">
        <f>_xlfn.XLOOKUP(Baukon[[#This Row],[LCA Datensatz]],LeitRess_Materialien[Material_UUID],LeitRess_Materialien[TMR '[kg Gesamtmaterialaufwand/kg']])*Baukon[[#This Row],[Masse '[kg/m²'] max]]</f>
        <v>0.70605426967153773</v>
      </c>
      <c r="AG64" s="37">
        <f>_xlfn.XLOOKUP(Baukon[[#This Row],[LCA Datensatz]],LeitRess_Materialien[Material_UUID],LeitRess_Materialien[GWP '[kg CO2-Äqu./kg']])*Baukon[[#This Row],[Masse '[kg/m²'] Referenz]]</f>
        <v>0.55327120946390662</v>
      </c>
      <c r="AH64" s="37">
        <f>_xlfn.XLOOKUP(Baukon[[#This Row],[LCA Datensatz]],LeitRess_Materialien[Material_UUID],LeitRess_Materialien[GWP '[kg CO2-Äqu./kg']])*Baukon[[#This Row],[Masse '[kg/m²'] min]]</f>
        <v>0.55327120946390662</v>
      </c>
      <c r="AI64" s="37">
        <f>_xlfn.XLOOKUP(Baukon[[#This Row],[LCA Datensatz]],LeitRess_Materialien[Material_UUID],LeitRess_Materialien[GWP '[kg CO2-Äqu./kg']])*Baukon[[#This Row],[Masse '[kg/m²'] max]]</f>
        <v>0.55327120946390662</v>
      </c>
      <c r="AJ64" s="37">
        <f>_xlfn.XLOOKUP(Baukon[[#This Row],[LCA Datensatz]],LeitRess_Materialien[Material_UUID],LeitRess_Materialien[PENRT '[MJ/kg']])*Baukon[[#This Row],[Masse '[kg/m²'] Referenz]]</f>
        <v>20.491472968565958</v>
      </c>
      <c r="AK64" s="37">
        <f>_xlfn.XLOOKUP(Baukon[[#This Row],[LCA Datensatz]],LeitRess_Materialien[Material_UUID],LeitRess_Materialien[PENRT '[MJ/kg']])*Baukon[[#This Row],[Masse '[kg/m²'] min]]</f>
        <v>20.491472968565958</v>
      </c>
      <c r="AL64" s="37">
        <f>_xlfn.XLOOKUP(Baukon[[#This Row],[LCA Datensatz]],LeitRess_Materialien[Material_UUID],LeitRess_Materialien[PENRT '[MJ/kg']])*Baukon[[#This Row],[Masse '[kg/m²'] max]]</f>
        <v>20.491472968565958</v>
      </c>
      <c r="AM64" s="37" t="e">
        <f>_xlfn.XLOOKUP(Baukon[[#This Row],[LCA Datensatz]],LeitRess_Materialien[Material_UUID],#REF!)*Baukon[[#This Row],[Masse '[kg/m²'] Referenz]]</f>
        <v>#REF!</v>
      </c>
      <c r="AN64" s="37" t="e">
        <f>_xlfn.XLOOKUP(Baukon[[#This Row],[LCA Datensatz]],LeitRess_Materialien[Material_UUID],#REF!)*Baukon[[#This Row],[Masse '[kg/m²'] min]]</f>
        <v>#REF!</v>
      </c>
      <c r="AO64" s="37" t="e">
        <f>_xlfn.XLOOKUP(Baukon[[#This Row],[LCA Datensatz]],LeitRess_Materialien[Material_UUID],#REF!)*Baukon[[#This Row],[Masse '[kg/m²'] max]]</f>
        <v>#REF!</v>
      </c>
      <c r="AP64" s="37">
        <f>_xlfn.XLOOKUP(Baukon[[#This Row],[LCA Datensatz]],LeitRess_Materialien[Material_UUID],LeitRess_Materialien[WDP '[m³ weighted water/kg']])*Baukon[[#This Row],[Masse '[kg/m²'] Referenz]]</f>
        <v>0.28989199614304856</v>
      </c>
      <c r="AQ64" s="37">
        <f>_xlfn.XLOOKUP(Baukon[[#This Row],[LCA Datensatz]],LeitRess_Materialien[Material_UUID],LeitRess_Materialien[WDP '[m³ weighted water/kg']])*Baukon[[#This Row],[Masse '[kg/m²'] min]]</f>
        <v>0.28989199614304856</v>
      </c>
      <c r="AR64" s="37">
        <f>_xlfn.XLOOKUP(Baukon[[#This Row],[LCA Datensatz]],LeitRess_Materialien[Material_UUID],LeitRess_Materialien[WDP '[m³ weighted water/kg']])*Baukon[[#This Row],[Masse '[kg/m²'] max]]</f>
        <v>0.28989199614304856</v>
      </c>
      <c r="AS64" s="39">
        <f>Baukon[[#This Row],[GWP '[kg CO2-Äqu./m²'] Referenz]]/'Ausgabe Tabellen'!$C$21+Baukon[[#This Row],[PENRT '[MJ/m²'] Referenz]]/'Ausgabe Tabellen'!$C$22+Baukon[[#This Row],[RMI '[kg Primärrohstoffe/m²'] Referenz]]/'Ausgabe Tabellen'!$C$23+Baukon[[#This Row],[WDP '[m² weighted water/m²'] Referenz]]/'Ausgabe Tabellen'!$C$24</f>
        <v>2.3771240070454252E-4</v>
      </c>
      <c r="AT64" s="39">
        <f>Baukon[[#This Row],[GWP '[kg CO2-Äqu./m²'] min]]/'Ausgabe Tabellen'!$C$21+Baukon[[#This Row],[PENRT '[MJ/m²'] min]]/'Ausgabe Tabellen'!$C$22+Baukon[[#This Row],[RMI '[kg Primärrohstoffe/m²'] min]]/'Ausgabe Tabellen'!$C$23+Baukon[[#This Row],[WDP '[m² weighted water/m²'] min]]/'Ausgabe Tabellen'!$C$24</f>
        <v>2.3771240070454252E-4</v>
      </c>
      <c r="AU64" s="39">
        <f>Baukon[[#This Row],[GWP '[kg CO2-Äqu./m²'] max]]/'Ausgabe Tabellen'!$C$21+Baukon[[#This Row],[PENRT '[MJ/m²'] max]]/'Ausgabe Tabellen'!$C$22+Baukon[[#This Row],[RMI '[kg Primärrohstoffe/m²'] max]]/'Ausgabe Tabellen'!$C$23+Baukon[[#This Row],[WDP '[m² weighted water/m²'] max]]/'Ausgabe Tabellen'!$C$24</f>
        <v>2.3771240070454252E-4</v>
      </c>
    </row>
    <row r="65" spans="1:47" s="24" customFormat="1" ht="15.75" x14ac:dyDescent="0.5">
      <c r="A65" s="36" t="s">
        <v>110</v>
      </c>
      <c r="B65" s="36" t="s">
        <v>318</v>
      </c>
      <c r="C65" s="36">
        <v>3</v>
      </c>
      <c r="D65" s="36" t="s">
        <v>312</v>
      </c>
      <c r="E65" s="36" t="str">
        <f>Baukon[[#This Row],[Variante Nummer]]&amp;". "&amp;Baukon[[#This Row],[Name Baukonstruktion]]&amp;" | " &amp;Baukon[[#This Row],[Variante Name]]</f>
        <v>3. Holzdecke | Referenz MiWo</v>
      </c>
      <c r="F65" s="36" t="s">
        <v>332</v>
      </c>
      <c r="G65" s="36" t="s">
        <v>227</v>
      </c>
      <c r="H65" s="36" t="s">
        <v>228</v>
      </c>
      <c r="I65" s="41">
        <v>40</v>
      </c>
      <c r="J65" s="36">
        <f>IF(Baukon[[#This Row],[Material ist Dämmstoff?]]="ja",Baukon[[#This Row],[Dicke '[mm'] Referenz]]+_xlfn.XLOOKUP(RIGHT(Baukon[[#Headers],[Dicke '[mm'] min]],3),Dämmstoffvarianten[Variante],Dämmstoffvarianten[Differenz Dämmstoffedicke zu Referenz '[mm']]),Baukon[[#This Row],[Dicke '[mm'] Referenz]])</f>
        <v>0</v>
      </c>
      <c r="K65" s="36">
        <f>IF(Baukon[[#This Row],[Material ist Dämmstoff?]]="ja",Baukon[[#This Row],[Dicke '[mm'] Referenz]]+_xlfn.XLOOKUP(RIGHT(Baukon[[#Headers],[Dicke '[mm'] max]],3),Dämmstoffvarianten[Variante],Dämmstoffvarianten[Differenz Dämmstoffedicke zu Referenz '[mm']]),Baukon[[#This Row],[Dicke '[mm'] Referenz]])</f>
        <v>120</v>
      </c>
      <c r="L65" s="43">
        <v>1</v>
      </c>
      <c r="M65" s="41"/>
      <c r="N65" s="103">
        <f>IFERROR(Baukon[[#This Row],[Dicke '[mm'] Referenz]]/1000*Baukon[[#This Row],[Flächenanteil '[%']]],"")</f>
        <v>0.04</v>
      </c>
      <c r="O65" s="103">
        <f>IFERROR(Baukon[[#This Row],[Dicke '[mm'] min]]/1000*Baukon[[#This Row],[Flächenanteil '[%']]],"")</f>
        <v>0</v>
      </c>
      <c r="P65" s="103">
        <f>IFERROR(Baukon[[#This Row],[Dicke '[mm'] max]]/1000*Baukon[[#This Row],[Flächenanteil '[%']]],"")</f>
        <v>0.12</v>
      </c>
      <c r="Q65"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1.85</v>
      </c>
      <c r="R65"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0</v>
      </c>
      <c r="S65"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5.55</v>
      </c>
      <c r="T65" s="42"/>
      <c r="U65" s="103" t="str">
        <f>_xlfn.XLOOKUP(Baukon[[#This Row],[Material]],LeitRess_Materialien[Name],LeitRess_Materialien[Material_UUID])</f>
        <v>f8afef87-5de3-4996-838c-1f2af9ef81df</v>
      </c>
      <c r="V65" s="42">
        <f>_xlfn.XLOOKUP(Baukon[[#This Row],[LCA Datensatz]],LeitRess_Materialien[Material_UUID],LeitRess_Materialien[Rohdichte_'[kg/m3']])</f>
        <v>46.25</v>
      </c>
      <c r="W65" s="42">
        <f>_xlfn.XLOOKUP(Baukon[[#This Row],[LCA Datensatz]],LeitRess_Materialien[Material_UUID],LeitRess_Materialien[Flächengewicht_'[kg/m2']])</f>
        <v>0</v>
      </c>
      <c r="X65" s="104">
        <f>_xlfn.XLOOKUP(Baukon[[#This Row],[LCA Datensatz]],LeitRess_Materialien[Material_UUID],LeitRess_Materialien[Längengewicht_'[kg/m']])</f>
        <v>0</v>
      </c>
      <c r="Y65" s="104">
        <f>_xlfn.XLOOKUP(Baukon[[#This Row],[LCA Datensatz]],LeitRess_Materialien[Material_UUID],LeitRess_Materialien[lambda_'[W/mK']])</f>
        <v>4.2000000000000003E-2</v>
      </c>
      <c r="Z65" s="103">
        <f>IFERROR(Baukon[[#This Row],[Dicke '[mm'] Referenz]]/Baukon[[#This Row],[lambda_'[W/mK']]],"")</f>
        <v>952.38095238095229</v>
      </c>
      <c r="AA65" s="37">
        <f>_xlfn.XLOOKUP(Baukon[[#This Row],[LCA Datensatz]],LeitRess_Materialien[Material_UUID],LeitRess_Materialien[RMI '[kg Primärrohstoffe / kg']])*Baukon[[#This Row],[Masse '[kg/m²'] Referenz]]</f>
        <v>3.5650613285708044</v>
      </c>
      <c r="AB65" s="37">
        <f>_xlfn.XLOOKUP(Baukon[[#This Row],[LCA Datensatz]],LeitRess_Materialien[Material_UUID],LeitRess_Materialien[RMI '[kg Primärrohstoffe / kg']])*Baukon[[#This Row],[Masse '[kg/m²'] min]]</f>
        <v>0</v>
      </c>
      <c r="AC65" s="37">
        <f>_xlfn.XLOOKUP(Baukon[[#This Row],[LCA Datensatz]],LeitRess_Materialien[Material_UUID],LeitRess_Materialien[RMI '[kg Primärrohstoffe / kg']])*Baukon[[#This Row],[Masse '[kg/m²'] max]]</f>
        <v>10.695183985712411</v>
      </c>
      <c r="AD65" s="37">
        <f>_xlfn.XLOOKUP(Baukon[[#This Row],[LCA Datensatz]],LeitRess_Materialien[Material_UUID],LeitRess_Materialien[TMR '[kg Gesamtmaterialaufwand/kg']])*Baukon[[#This Row],[Masse '[kg/m²'] Referenz]]</f>
        <v>4.3264074367388643</v>
      </c>
      <c r="AE65" s="37">
        <f>_xlfn.XLOOKUP(Baukon[[#This Row],[LCA Datensatz]],LeitRess_Materialien[Material_UUID],LeitRess_Materialien[TMR '[kg Gesamtmaterialaufwand/kg']])*Baukon[[#This Row],[Masse '[kg/m²'] min]]</f>
        <v>0</v>
      </c>
      <c r="AF65" s="37">
        <f>_xlfn.XLOOKUP(Baukon[[#This Row],[LCA Datensatz]],LeitRess_Materialien[Material_UUID],LeitRess_Materialien[TMR '[kg Gesamtmaterialaufwand/kg']])*Baukon[[#This Row],[Masse '[kg/m²'] max]]</f>
        <v>12.97922231021659</v>
      </c>
      <c r="AG65" s="37">
        <f>_xlfn.XLOOKUP(Baukon[[#This Row],[LCA Datensatz]],LeitRess_Materialien[Material_UUID],LeitRess_Materialien[GWP '[kg CO2-Äqu./kg']])*Baukon[[#This Row],[Masse '[kg/m²'] Referenz]]</f>
        <v>1.8311870375301069</v>
      </c>
      <c r="AH65" s="37">
        <f>_xlfn.XLOOKUP(Baukon[[#This Row],[LCA Datensatz]],LeitRess_Materialien[Material_UUID],LeitRess_Materialien[GWP '[kg CO2-Äqu./kg']])*Baukon[[#This Row],[Masse '[kg/m²'] min]]</f>
        <v>0</v>
      </c>
      <c r="AI65" s="37">
        <f>_xlfn.XLOOKUP(Baukon[[#This Row],[LCA Datensatz]],LeitRess_Materialien[Material_UUID],LeitRess_Materialien[GWP '[kg CO2-Äqu./kg']])*Baukon[[#This Row],[Masse '[kg/m²'] max]]</f>
        <v>5.4935611125903199</v>
      </c>
      <c r="AJ65" s="37">
        <f>_xlfn.XLOOKUP(Baukon[[#This Row],[LCA Datensatz]],LeitRess_Materialien[Material_UUID],LeitRess_Materialien[PENRT '[MJ/kg']])*Baukon[[#This Row],[Masse '[kg/m²'] Referenz]]</f>
        <v>39.357787056474841</v>
      </c>
      <c r="AK65" s="37">
        <f>_xlfn.XLOOKUP(Baukon[[#This Row],[LCA Datensatz]],LeitRess_Materialien[Material_UUID],LeitRess_Materialien[PENRT '[MJ/kg']])*Baukon[[#This Row],[Masse '[kg/m²'] min]]</f>
        <v>0</v>
      </c>
      <c r="AL65" s="37">
        <f>_xlfn.XLOOKUP(Baukon[[#This Row],[LCA Datensatz]],LeitRess_Materialien[Material_UUID],LeitRess_Materialien[PENRT '[MJ/kg']])*Baukon[[#This Row],[Masse '[kg/m²'] max]]</f>
        <v>118.07336116942452</v>
      </c>
      <c r="AM65" s="37" t="e">
        <f>_xlfn.XLOOKUP(Baukon[[#This Row],[LCA Datensatz]],LeitRess_Materialien[Material_UUID],#REF!)*Baukon[[#This Row],[Masse '[kg/m²'] Referenz]]</f>
        <v>#REF!</v>
      </c>
      <c r="AN65" s="37" t="e">
        <f>_xlfn.XLOOKUP(Baukon[[#This Row],[LCA Datensatz]],LeitRess_Materialien[Material_UUID],#REF!)*Baukon[[#This Row],[Masse '[kg/m²'] min]]</f>
        <v>#REF!</v>
      </c>
      <c r="AO65" s="37" t="e">
        <f>_xlfn.XLOOKUP(Baukon[[#This Row],[LCA Datensatz]],LeitRess_Materialien[Material_UUID],#REF!)*Baukon[[#This Row],[Masse '[kg/m²'] max]]</f>
        <v>#REF!</v>
      </c>
      <c r="AP65" s="37">
        <f>_xlfn.XLOOKUP(Baukon[[#This Row],[LCA Datensatz]],LeitRess_Materialien[Material_UUID],LeitRess_Materialien[WDP '[m³ weighted water/kg']])*Baukon[[#This Row],[Masse '[kg/m²'] Referenz]]</f>
        <v>2.0048328023872855</v>
      </c>
      <c r="AQ65" s="37">
        <f>_xlfn.XLOOKUP(Baukon[[#This Row],[LCA Datensatz]],LeitRess_Materialien[Material_UUID],LeitRess_Materialien[WDP '[m³ weighted water/kg']])*Baukon[[#This Row],[Masse '[kg/m²'] min]]</f>
        <v>0</v>
      </c>
      <c r="AR65" s="37">
        <f>_xlfn.XLOOKUP(Baukon[[#This Row],[LCA Datensatz]],LeitRess_Materialien[Material_UUID],LeitRess_Materialien[WDP '[m³ weighted water/kg']])*Baukon[[#This Row],[Masse '[kg/m²'] max]]</f>
        <v>6.0144984071618559</v>
      </c>
      <c r="AS65" s="39">
        <f>Baukon[[#This Row],[GWP '[kg CO2-Äqu./m²'] Referenz]]/'Ausgabe Tabellen'!$C$21+Baukon[[#This Row],[PENRT '[MJ/m²'] Referenz]]/'Ausgabe Tabellen'!$C$22+Baukon[[#This Row],[RMI '[kg Primärrohstoffe/m²'] Referenz]]/'Ausgabe Tabellen'!$C$23+Baukon[[#This Row],[WDP '[m² weighted water/m²'] Referenz]]/'Ausgabe Tabellen'!$C$24</f>
        <v>7.2248968274475308E-4</v>
      </c>
      <c r="AT65" s="39">
        <f>Baukon[[#This Row],[GWP '[kg CO2-Äqu./m²'] min]]/'Ausgabe Tabellen'!$C$21+Baukon[[#This Row],[PENRT '[MJ/m²'] min]]/'Ausgabe Tabellen'!$C$22+Baukon[[#This Row],[RMI '[kg Primärrohstoffe/m²'] min]]/'Ausgabe Tabellen'!$C$23+Baukon[[#This Row],[WDP '[m² weighted water/m²'] min]]/'Ausgabe Tabellen'!$C$24</f>
        <v>0</v>
      </c>
      <c r="AU65" s="39">
        <f>Baukon[[#This Row],[GWP '[kg CO2-Äqu./m²'] max]]/'Ausgabe Tabellen'!$C$21+Baukon[[#This Row],[PENRT '[MJ/m²'] max]]/'Ausgabe Tabellen'!$C$22+Baukon[[#This Row],[RMI '[kg Primärrohstoffe/m²'] max]]/'Ausgabe Tabellen'!$C$23+Baukon[[#This Row],[WDP '[m² weighted water/m²'] max]]/'Ausgabe Tabellen'!$C$24</f>
        <v>2.1674690482342586E-3</v>
      </c>
    </row>
    <row r="66" spans="1:47" s="24" customFormat="1" ht="15.75" x14ac:dyDescent="0.5">
      <c r="A66" s="36" t="s">
        <v>110</v>
      </c>
      <c r="B66" s="36" t="s">
        <v>318</v>
      </c>
      <c r="C66" s="36">
        <v>3</v>
      </c>
      <c r="D66" s="36" t="s">
        <v>312</v>
      </c>
      <c r="E66" s="36" t="str">
        <f>Baukon[[#This Row],[Variante Nummer]]&amp;". "&amp;Baukon[[#This Row],[Name Baukonstruktion]]&amp;" | " &amp;Baukon[[#This Row],[Variante Name]]</f>
        <v>3. Holzdecke | Referenz MiWo</v>
      </c>
      <c r="F66" s="36" t="s">
        <v>243</v>
      </c>
      <c r="G66" s="36" t="s">
        <v>243</v>
      </c>
      <c r="H66" s="36" t="s">
        <v>225</v>
      </c>
      <c r="I66" s="41">
        <v>240</v>
      </c>
      <c r="J66" s="36">
        <f>IF(Baukon[[#This Row],[Material ist Dämmstoff?]]="ja",Baukon[[#This Row],[Dicke '[mm'] Referenz]]+_xlfn.XLOOKUP(RIGHT(Baukon[[#Headers],[Dicke '[mm'] min]],3),Dämmstoffvarianten[Variante],Dämmstoffvarianten[Differenz Dämmstoffedicke zu Referenz '[mm']]),Baukon[[#This Row],[Dicke '[mm'] Referenz]])</f>
        <v>240</v>
      </c>
      <c r="K66" s="36">
        <f>IF(Baukon[[#This Row],[Material ist Dämmstoff?]]="ja",Baukon[[#This Row],[Dicke '[mm'] Referenz]]+_xlfn.XLOOKUP(RIGHT(Baukon[[#Headers],[Dicke '[mm'] max]],3),Dämmstoffvarianten[Variante],Dämmstoffvarianten[Differenz Dämmstoffedicke zu Referenz '[mm']]),Baukon[[#This Row],[Dicke '[mm'] Referenz]])</f>
        <v>240</v>
      </c>
      <c r="L66" s="43">
        <f>1/0.6*0.24</f>
        <v>0.4</v>
      </c>
      <c r="M66" s="41"/>
      <c r="N66" s="103">
        <f>IFERROR(Baukon[[#This Row],[Dicke '[mm'] Referenz]]/1000*Baukon[[#This Row],[Flächenanteil '[%']]],"")</f>
        <v>9.6000000000000002E-2</v>
      </c>
      <c r="O66" s="103">
        <f>IFERROR(Baukon[[#This Row],[Dicke '[mm'] min]]/1000*Baukon[[#This Row],[Flächenanteil '[%']]],"")</f>
        <v>9.6000000000000002E-2</v>
      </c>
      <c r="P66" s="103">
        <f>IFERROR(Baukon[[#This Row],[Dicke '[mm'] max]]/1000*Baukon[[#This Row],[Flächenanteil '[%']]],"")</f>
        <v>9.6000000000000002E-2</v>
      </c>
      <c r="Q66"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47.320320000000002</v>
      </c>
      <c r="R66"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47.320320000000002</v>
      </c>
      <c r="S66"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47.320320000000002</v>
      </c>
      <c r="T66" s="42" t="s">
        <v>451</v>
      </c>
      <c r="U66" s="103" t="str">
        <f>_xlfn.XLOOKUP(Baukon[[#This Row],[Material]],LeitRess_Materialien[Name],LeitRess_Materialien[Material_UUID])</f>
        <v>1a70d292-a82c-42a6-a378-d3cbd9a9af4e</v>
      </c>
      <c r="V66" s="42">
        <f>_xlfn.XLOOKUP(Baukon[[#This Row],[LCA Datensatz]],LeitRess_Materialien[Material_UUID],LeitRess_Materialien[Rohdichte_'[kg/m3']])</f>
        <v>492.92</v>
      </c>
      <c r="W66" s="42">
        <f>_xlfn.XLOOKUP(Baukon[[#This Row],[LCA Datensatz]],LeitRess_Materialien[Material_UUID],LeitRess_Materialien[Flächengewicht_'[kg/m2']])</f>
        <v>0</v>
      </c>
      <c r="X66" s="104">
        <f>_xlfn.XLOOKUP(Baukon[[#This Row],[LCA Datensatz]],LeitRess_Materialien[Material_UUID],LeitRess_Materialien[Längengewicht_'[kg/m']])</f>
        <v>0</v>
      </c>
      <c r="Y66" s="104">
        <f>_xlfn.XLOOKUP(Baukon[[#This Row],[LCA Datensatz]],LeitRess_Materialien[Material_UUID],LeitRess_Materialien[lambda_'[W/mK']])</f>
        <v>0.1</v>
      </c>
      <c r="Z66" s="103">
        <f>IFERROR(Baukon[[#This Row],[Dicke '[mm'] Referenz]]/Baukon[[#This Row],[lambda_'[W/mK']]],"")</f>
        <v>2400</v>
      </c>
      <c r="AA66" s="37">
        <f>_xlfn.XLOOKUP(Baukon[[#This Row],[LCA Datensatz]],LeitRess_Materialien[Material_UUID],LeitRess_Materialien[RMI '[kg Primärrohstoffe / kg']])*Baukon[[#This Row],[Masse '[kg/m²'] Referenz]]</f>
        <v>95.691388953193027</v>
      </c>
      <c r="AB66" s="37">
        <f>_xlfn.XLOOKUP(Baukon[[#This Row],[LCA Datensatz]],LeitRess_Materialien[Material_UUID],LeitRess_Materialien[RMI '[kg Primärrohstoffe / kg']])*Baukon[[#This Row],[Masse '[kg/m²'] min]]</f>
        <v>95.691388953193027</v>
      </c>
      <c r="AC66" s="37">
        <f>_xlfn.XLOOKUP(Baukon[[#This Row],[LCA Datensatz]],LeitRess_Materialien[Material_UUID],LeitRess_Materialien[RMI '[kg Primärrohstoffe / kg']])*Baukon[[#This Row],[Masse '[kg/m²'] max]]</f>
        <v>95.691388953193027</v>
      </c>
      <c r="AD66" s="37">
        <f>_xlfn.XLOOKUP(Baukon[[#This Row],[LCA Datensatz]],LeitRess_Materialien[Material_UUID],LeitRess_Materialien[TMR '[kg Gesamtmaterialaufwand/kg']])*Baukon[[#This Row],[Masse '[kg/m²'] Referenz]]</f>
        <v>110.77298355748439</v>
      </c>
      <c r="AE66" s="37">
        <f>_xlfn.XLOOKUP(Baukon[[#This Row],[LCA Datensatz]],LeitRess_Materialien[Material_UUID],LeitRess_Materialien[TMR '[kg Gesamtmaterialaufwand/kg']])*Baukon[[#This Row],[Masse '[kg/m²'] min]]</f>
        <v>110.77298355748439</v>
      </c>
      <c r="AF66" s="37">
        <f>_xlfn.XLOOKUP(Baukon[[#This Row],[LCA Datensatz]],LeitRess_Materialien[Material_UUID],LeitRess_Materialien[TMR '[kg Gesamtmaterialaufwand/kg']])*Baukon[[#This Row],[Masse '[kg/m²'] max]]</f>
        <v>110.77298355748439</v>
      </c>
      <c r="AG66" s="37">
        <f>_xlfn.XLOOKUP(Baukon[[#This Row],[LCA Datensatz]],LeitRess_Materialien[Material_UUID],LeitRess_Materialien[GWP '[kg CO2-Äqu./kg']])*Baukon[[#This Row],[Masse '[kg/m²'] Referenz]]</f>
        <v>9.9640688345138742</v>
      </c>
      <c r="AH66" s="37">
        <f>_xlfn.XLOOKUP(Baukon[[#This Row],[LCA Datensatz]],LeitRess_Materialien[Material_UUID],LeitRess_Materialien[GWP '[kg CO2-Äqu./kg']])*Baukon[[#This Row],[Masse '[kg/m²'] min]]</f>
        <v>9.9640688345138742</v>
      </c>
      <c r="AI66" s="37">
        <f>_xlfn.XLOOKUP(Baukon[[#This Row],[LCA Datensatz]],LeitRess_Materialien[Material_UUID],LeitRess_Materialien[GWP '[kg CO2-Äqu./kg']])*Baukon[[#This Row],[Masse '[kg/m²'] max]]</f>
        <v>9.9640688345138742</v>
      </c>
      <c r="AJ66" s="37">
        <f>_xlfn.XLOOKUP(Baukon[[#This Row],[LCA Datensatz]],LeitRess_Materialien[Material_UUID],LeitRess_Materialien[PENRT '[MJ/kg']])*Baukon[[#This Row],[Masse '[kg/m²'] Referenz]]</f>
        <v>180.42477865064654</v>
      </c>
      <c r="AK66" s="37">
        <f>_xlfn.XLOOKUP(Baukon[[#This Row],[LCA Datensatz]],LeitRess_Materialien[Material_UUID],LeitRess_Materialien[PENRT '[MJ/kg']])*Baukon[[#This Row],[Masse '[kg/m²'] min]]</f>
        <v>180.42477865064654</v>
      </c>
      <c r="AL66" s="37">
        <f>_xlfn.XLOOKUP(Baukon[[#This Row],[LCA Datensatz]],LeitRess_Materialien[Material_UUID],LeitRess_Materialien[PENRT '[MJ/kg']])*Baukon[[#This Row],[Masse '[kg/m²'] max]]</f>
        <v>180.42477865064654</v>
      </c>
      <c r="AM66" s="37" t="e">
        <f>_xlfn.XLOOKUP(Baukon[[#This Row],[LCA Datensatz]],LeitRess_Materialien[Material_UUID],#REF!)*Baukon[[#This Row],[Masse '[kg/m²'] Referenz]]</f>
        <v>#REF!</v>
      </c>
      <c r="AN66" s="37" t="e">
        <f>_xlfn.XLOOKUP(Baukon[[#This Row],[LCA Datensatz]],LeitRess_Materialien[Material_UUID],#REF!)*Baukon[[#This Row],[Masse '[kg/m²'] min]]</f>
        <v>#REF!</v>
      </c>
      <c r="AO66" s="37" t="e">
        <f>_xlfn.XLOOKUP(Baukon[[#This Row],[LCA Datensatz]],LeitRess_Materialien[Material_UUID],#REF!)*Baukon[[#This Row],[Masse '[kg/m²'] max]]</f>
        <v>#REF!</v>
      </c>
      <c r="AP66" s="37">
        <f>_xlfn.XLOOKUP(Baukon[[#This Row],[LCA Datensatz]],LeitRess_Materialien[Material_UUID],LeitRess_Materialien[WDP '[m³ weighted water/kg']])*Baukon[[#This Row],[Masse '[kg/m²'] Referenz]]</f>
        <v>4.0192086721652354</v>
      </c>
      <c r="AQ66" s="37">
        <f>_xlfn.XLOOKUP(Baukon[[#This Row],[LCA Datensatz]],LeitRess_Materialien[Material_UUID],LeitRess_Materialien[WDP '[m³ weighted water/kg']])*Baukon[[#This Row],[Masse '[kg/m²'] min]]</f>
        <v>4.0192086721652354</v>
      </c>
      <c r="AR66" s="37">
        <f>_xlfn.XLOOKUP(Baukon[[#This Row],[LCA Datensatz]],LeitRess_Materialien[Material_UUID],LeitRess_Materialien[WDP '[m³ weighted water/kg']])*Baukon[[#This Row],[Masse '[kg/m²'] max]]</f>
        <v>4.0192086721652354</v>
      </c>
      <c r="AS66" s="39">
        <f>Baukon[[#This Row],[GWP '[kg CO2-Äqu./m²'] Referenz]]/'Ausgabe Tabellen'!$C$21+Baukon[[#This Row],[PENRT '[MJ/m²'] Referenz]]/'Ausgabe Tabellen'!$C$22+Baukon[[#This Row],[RMI '[kg Primärrohstoffe/m²'] Referenz]]/'Ausgabe Tabellen'!$C$23+Baukon[[#This Row],[WDP '[m² weighted water/m²'] Referenz]]/'Ausgabe Tabellen'!$C$24</f>
        <v>5.1710170534109067E-3</v>
      </c>
      <c r="AT66" s="39">
        <f>Baukon[[#This Row],[GWP '[kg CO2-Äqu./m²'] min]]/'Ausgabe Tabellen'!$C$21+Baukon[[#This Row],[PENRT '[MJ/m²'] min]]/'Ausgabe Tabellen'!$C$22+Baukon[[#This Row],[RMI '[kg Primärrohstoffe/m²'] min]]/'Ausgabe Tabellen'!$C$23+Baukon[[#This Row],[WDP '[m² weighted water/m²'] min]]/'Ausgabe Tabellen'!$C$24</f>
        <v>5.1710170534109067E-3</v>
      </c>
      <c r="AU66" s="39">
        <f>Baukon[[#This Row],[GWP '[kg CO2-Äqu./m²'] max]]/'Ausgabe Tabellen'!$C$21+Baukon[[#This Row],[PENRT '[MJ/m²'] max]]/'Ausgabe Tabellen'!$C$22+Baukon[[#This Row],[RMI '[kg Primärrohstoffe/m²'] max]]/'Ausgabe Tabellen'!$C$23+Baukon[[#This Row],[WDP '[m² weighted water/m²'] max]]/'Ausgabe Tabellen'!$C$24</f>
        <v>5.1710170534109067E-3</v>
      </c>
    </row>
    <row r="67" spans="1:47" s="24" customFormat="1" ht="15.75" x14ac:dyDescent="0.5">
      <c r="A67" s="36" t="s">
        <v>110</v>
      </c>
      <c r="B67" s="36" t="s">
        <v>318</v>
      </c>
      <c r="C67" s="36">
        <v>3</v>
      </c>
      <c r="D67" s="36" t="s">
        <v>312</v>
      </c>
      <c r="E67" s="36" t="str">
        <f>Baukon[[#This Row],[Variante Nummer]]&amp;". "&amp;Baukon[[#This Row],[Name Baukonstruktion]]&amp;" | " &amp;Baukon[[#This Row],[Variante Name]]</f>
        <v>3. Holzdecke | Referenz MiWo</v>
      </c>
      <c r="F67" s="36" t="s">
        <v>324</v>
      </c>
      <c r="G67" s="36" t="s">
        <v>240</v>
      </c>
      <c r="H67" s="36" t="s">
        <v>225</v>
      </c>
      <c r="I67" s="41" t="s">
        <v>498</v>
      </c>
      <c r="J67" s="36" t="str">
        <f>IF(Baukon[[#This Row],[Material ist Dämmstoff?]]="ja",Baukon[[#This Row],[Dicke '[mm'] Referenz]]+_xlfn.XLOOKUP(RIGHT(Baukon[[#Headers],[Dicke '[mm'] min]],3),Dämmstoffvarianten[Variante],Dämmstoffvarianten[Differenz Dämmstoffedicke zu Referenz '[mm']]),Baukon[[#This Row],[Dicke '[mm'] Referenz]])</f>
        <v>12,5</v>
      </c>
      <c r="K67" s="36" t="str">
        <f>IF(Baukon[[#This Row],[Material ist Dämmstoff?]]="ja",Baukon[[#This Row],[Dicke '[mm'] Referenz]]+_xlfn.XLOOKUP(RIGHT(Baukon[[#Headers],[Dicke '[mm'] max]],3),Dämmstoffvarianten[Variante],Dämmstoffvarianten[Differenz Dämmstoffedicke zu Referenz '[mm']]),Baukon[[#This Row],[Dicke '[mm'] Referenz]])</f>
        <v>12,5</v>
      </c>
      <c r="L67" s="43">
        <v>1</v>
      </c>
      <c r="M67" s="41"/>
      <c r="N67" s="103">
        <f>IFERROR(Baukon[[#This Row],[Dicke '[mm'] Referenz]]/1000*Baukon[[#This Row],[Flächenanteil '[%']]],"")</f>
        <v>1.2500000000000001E-2</v>
      </c>
      <c r="O67" s="103">
        <f>IFERROR(Baukon[[#This Row],[Dicke '[mm'] min]]/1000*Baukon[[#This Row],[Flächenanteil '[%']]],"")</f>
        <v>1.2500000000000001E-2</v>
      </c>
      <c r="P67" s="103">
        <f>IFERROR(Baukon[[#This Row],[Dicke '[mm'] max]]/1000*Baukon[[#This Row],[Flächenanteil '[%']]],"")</f>
        <v>1.2500000000000001E-2</v>
      </c>
      <c r="Q67"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10</v>
      </c>
      <c r="R67"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10</v>
      </c>
      <c r="S67"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10</v>
      </c>
      <c r="T67" s="42" t="s">
        <v>226</v>
      </c>
      <c r="U67" s="103" t="str">
        <f>_xlfn.XLOOKUP(Baukon[[#This Row],[Material]],LeitRess_Materialien[Name],LeitRess_Materialien[Material_UUID])</f>
        <v>07423e99-8c7c-4e93-8311-dcf7ae85c41d</v>
      </c>
      <c r="V67" s="42">
        <f>_xlfn.XLOOKUP(Baukon[[#This Row],[LCA Datensatz]],LeitRess_Materialien[Material_UUID],LeitRess_Materialien[Rohdichte_'[kg/m3']])</f>
        <v>800</v>
      </c>
      <c r="W67" s="42">
        <f>_xlfn.XLOOKUP(Baukon[[#This Row],[LCA Datensatz]],LeitRess_Materialien[Material_UUID],LeitRess_Materialien[Flächengewicht_'[kg/m2']])</f>
        <v>10</v>
      </c>
      <c r="X67" s="104">
        <f>_xlfn.XLOOKUP(Baukon[[#This Row],[LCA Datensatz]],LeitRess_Materialien[Material_UUID],LeitRess_Materialien[Längengewicht_'[kg/m']])</f>
        <v>0</v>
      </c>
      <c r="Y67" s="104">
        <f>_xlfn.XLOOKUP(Baukon[[#This Row],[LCA Datensatz]],LeitRess_Materialien[Material_UUID],LeitRess_Materialien[lambda_'[W/mK']])</f>
        <v>0.2</v>
      </c>
      <c r="Z67" s="103">
        <f>IFERROR(Baukon[[#This Row],[Dicke '[mm'] Referenz]]/Baukon[[#This Row],[lambda_'[W/mK']]],"")</f>
        <v>62.5</v>
      </c>
      <c r="AA67" s="37">
        <f>_xlfn.XLOOKUP(Baukon[[#This Row],[LCA Datensatz]],LeitRess_Materialien[Material_UUID],LeitRess_Materialien[RMI '[kg Primärrohstoffe / kg']])*Baukon[[#This Row],[Masse '[kg/m²'] Referenz]]</f>
        <v>9.6885190926662101</v>
      </c>
      <c r="AB67" s="37">
        <f>_xlfn.XLOOKUP(Baukon[[#This Row],[LCA Datensatz]],LeitRess_Materialien[Material_UUID],LeitRess_Materialien[RMI '[kg Primärrohstoffe / kg']])*Baukon[[#This Row],[Masse '[kg/m²'] min]]</f>
        <v>9.6885190926662101</v>
      </c>
      <c r="AC67" s="37">
        <f>_xlfn.XLOOKUP(Baukon[[#This Row],[LCA Datensatz]],LeitRess_Materialien[Material_UUID],LeitRess_Materialien[RMI '[kg Primärrohstoffe / kg']])*Baukon[[#This Row],[Masse '[kg/m²'] max]]</f>
        <v>9.6885190926662101</v>
      </c>
      <c r="AD67" s="37">
        <f>_xlfn.XLOOKUP(Baukon[[#This Row],[LCA Datensatz]],LeitRess_Materialien[Material_UUID],LeitRess_Materialien[TMR '[kg Gesamtmaterialaufwand/kg']])*Baukon[[#This Row],[Masse '[kg/m²'] Referenz]]</f>
        <v>10.504992021872901</v>
      </c>
      <c r="AE67" s="37">
        <f>_xlfn.XLOOKUP(Baukon[[#This Row],[LCA Datensatz]],LeitRess_Materialien[Material_UUID],LeitRess_Materialien[TMR '[kg Gesamtmaterialaufwand/kg']])*Baukon[[#This Row],[Masse '[kg/m²'] min]]</f>
        <v>10.504992021872901</v>
      </c>
      <c r="AF67" s="37">
        <f>_xlfn.XLOOKUP(Baukon[[#This Row],[LCA Datensatz]],LeitRess_Materialien[Material_UUID],LeitRess_Materialien[TMR '[kg Gesamtmaterialaufwand/kg']])*Baukon[[#This Row],[Masse '[kg/m²'] max]]</f>
        <v>10.504992021872901</v>
      </c>
      <c r="AG67" s="37">
        <f>_xlfn.XLOOKUP(Baukon[[#This Row],[LCA Datensatz]],LeitRess_Materialien[Material_UUID],LeitRess_Materialien[GWP '[kg CO2-Äqu./kg']])*Baukon[[#This Row],[Masse '[kg/m²'] Referenz]]</f>
        <v>2.5140556386449697</v>
      </c>
      <c r="AH67" s="37">
        <f>_xlfn.XLOOKUP(Baukon[[#This Row],[LCA Datensatz]],LeitRess_Materialien[Material_UUID],LeitRess_Materialien[GWP '[kg CO2-Äqu./kg']])*Baukon[[#This Row],[Masse '[kg/m²'] min]]</f>
        <v>2.5140556386449697</v>
      </c>
      <c r="AI67" s="37">
        <f>_xlfn.XLOOKUP(Baukon[[#This Row],[LCA Datensatz]],LeitRess_Materialien[Material_UUID],LeitRess_Materialien[GWP '[kg CO2-Äqu./kg']])*Baukon[[#This Row],[Masse '[kg/m²'] max]]</f>
        <v>2.5140556386449697</v>
      </c>
      <c r="AJ67" s="37">
        <f>_xlfn.XLOOKUP(Baukon[[#This Row],[LCA Datensatz]],LeitRess_Materialien[Material_UUID],LeitRess_Materialien[PENRT '[MJ/kg']])*Baukon[[#This Row],[Masse '[kg/m²'] Referenz]]</f>
        <v>38.560990916917703</v>
      </c>
      <c r="AK67" s="37">
        <f>_xlfn.XLOOKUP(Baukon[[#This Row],[LCA Datensatz]],LeitRess_Materialien[Material_UUID],LeitRess_Materialien[PENRT '[MJ/kg']])*Baukon[[#This Row],[Masse '[kg/m²'] min]]</f>
        <v>38.560990916917703</v>
      </c>
      <c r="AL67" s="37">
        <f>_xlfn.XLOOKUP(Baukon[[#This Row],[LCA Datensatz]],LeitRess_Materialien[Material_UUID],LeitRess_Materialien[PENRT '[MJ/kg']])*Baukon[[#This Row],[Masse '[kg/m²'] max]]</f>
        <v>38.560990916917703</v>
      </c>
      <c r="AM67" s="37" t="e">
        <f>_xlfn.XLOOKUP(Baukon[[#This Row],[LCA Datensatz]],LeitRess_Materialien[Material_UUID],#REF!)*Baukon[[#This Row],[Masse '[kg/m²'] Referenz]]</f>
        <v>#REF!</v>
      </c>
      <c r="AN67" s="37" t="e">
        <f>_xlfn.XLOOKUP(Baukon[[#This Row],[LCA Datensatz]],LeitRess_Materialien[Material_UUID],#REF!)*Baukon[[#This Row],[Masse '[kg/m²'] min]]</f>
        <v>#REF!</v>
      </c>
      <c r="AO67" s="37" t="e">
        <f>_xlfn.XLOOKUP(Baukon[[#This Row],[LCA Datensatz]],LeitRess_Materialien[Material_UUID],#REF!)*Baukon[[#This Row],[Masse '[kg/m²'] max]]</f>
        <v>#REF!</v>
      </c>
      <c r="AP67" s="37">
        <f>_xlfn.XLOOKUP(Baukon[[#This Row],[LCA Datensatz]],LeitRess_Materialien[Material_UUID],LeitRess_Materialien[WDP '[m³ weighted water/kg']])*Baukon[[#This Row],[Masse '[kg/m²'] Referenz]]</f>
        <v>1.2506783392176499</v>
      </c>
      <c r="AQ67" s="37">
        <f>_xlfn.XLOOKUP(Baukon[[#This Row],[LCA Datensatz]],LeitRess_Materialien[Material_UUID],LeitRess_Materialien[WDP '[m³ weighted water/kg']])*Baukon[[#This Row],[Masse '[kg/m²'] min]]</f>
        <v>1.2506783392176499</v>
      </c>
      <c r="AR67" s="37">
        <f>_xlfn.XLOOKUP(Baukon[[#This Row],[LCA Datensatz]],LeitRess_Materialien[Material_UUID],LeitRess_Materialien[WDP '[m³ weighted water/kg']])*Baukon[[#This Row],[Masse '[kg/m²'] max]]</f>
        <v>1.2506783392176499</v>
      </c>
      <c r="AS67" s="39">
        <f>Baukon[[#This Row],[GWP '[kg CO2-Äqu./m²'] Referenz]]/'Ausgabe Tabellen'!$C$21+Baukon[[#This Row],[PENRT '[MJ/m²'] Referenz]]/'Ausgabe Tabellen'!$C$22+Baukon[[#This Row],[RMI '[kg Primärrohstoffe/m²'] Referenz]]/'Ausgabe Tabellen'!$C$23+Baukon[[#This Row],[WDP '[m² weighted water/m²'] Referenz]]/'Ausgabe Tabellen'!$C$24</f>
        <v>8.7990794098609262E-4</v>
      </c>
      <c r="AT67" s="39">
        <f>Baukon[[#This Row],[GWP '[kg CO2-Äqu./m²'] min]]/'Ausgabe Tabellen'!$C$21+Baukon[[#This Row],[PENRT '[MJ/m²'] min]]/'Ausgabe Tabellen'!$C$22+Baukon[[#This Row],[RMI '[kg Primärrohstoffe/m²'] min]]/'Ausgabe Tabellen'!$C$23+Baukon[[#This Row],[WDP '[m² weighted water/m²'] min]]/'Ausgabe Tabellen'!$C$24</f>
        <v>8.7990794098609262E-4</v>
      </c>
      <c r="AU67" s="39">
        <f>Baukon[[#This Row],[GWP '[kg CO2-Äqu./m²'] max]]/'Ausgabe Tabellen'!$C$21+Baukon[[#This Row],[PENRT '[MJ/m²'] max]]/'Ausgabe Tabellen'!$C$22+Baukon[[#This Row],[RMI '[kg Primärrohstoffe/m²'] max]]/'Ausgabe Tabellen'!$C$23+Baukon[[#This Row],[WDP '[m² weighted water/m²'] max]]/'Ausgabe Tabellen'!$C$24</f>
        <v>8.7990794098609262E-4</v>
      </c>
    </row>
    <row r="68" spans="1:47" s="24" customFormat="1" ht="15.75" x14ac:dyDescent="0.5">
      <c r="A68" s="36" t="s">
        <v>110</v>
      </c>
      <c r="B68" s="36" t="s">
        <v>318</v>
      </c>
      <c r="C68" s="36">
        <v>3</v>
      </c>
      <c r="D68" s="36" t="s">
        <v>312</v>
      </c>
      <c r="E68" s="36" t="str">
        <f>Baukon[[#This Row],[Variante Nummer]]&amp;". "&amp;Baukon[[#This Row],[Name Baukonstruktion]]&amp;" | " &amp;Baukon[[#This Row],[Variante Name]]</f>
        <v>3. Holzdecke | Referenz MiWo</v>
      </c>
      <c r="F68" s="36" t="s">
        <v>255</v>
      </c>
      <c r="G68" s="36" t="s">
        <v>255</v>
      </c>
      <c r="H68" s="36" t="s">
        <v>225</v>
      </c>
      <c r="I68" s="41" t="s">
        <v>499</v>
      </c>
      <c r="J68" s="36" t="str">
        <f>IF(Baukon[[#This Row],[Material ist Dämmstoff?]]="ja",Baukon[[#This Row],[Dicke '[mm'] Referenz]]+_xlfn.XLOOKUP(RIGHT(Baukon[[#Headers],[Dicke '[mm'] min]],3),Dämmstoffvarianten[Variante],Dämmstoffvarianten[Differenz Dämmstoffedicke zu Referenz '[mm']]),Baukon[[#This Row],[Dicke '[mm'] Referenz]])</f>
        <v>0,3</v>
      </c>
      <c r="K68" s="36" t="str">
        <f>IF(Baukon[[#This Row],[Material ist Dämmstoff?]]="ja",Baukon[[#This Row],[Dicke '[mm'] Referenz]]+_xlfn.XLOOKUP(RIGHT(Baukon[[#Headers],[Dicke '[mm'] max]],3),Dämmstoffvarianten[Variante],Dämmstoffvarianten[Differenz Dämmstoffedicke zu Referenz '[mm']]),Baukon[[#This Row],[Dicke '[mm'] Referenz]])</f>
        <v>0,3</v>
      </c>
      <c r="L68" s="43">
        <v>1</v>
      </c>
      <c r="M68" s="41"/>
      <c r="N68" s="103">
        <f>IFERROR(Baukon[[#This Row],[Dicke '[mm'] Referenz]]/1000*Baukon[[#This Row],[Flächenanteil '[%']]],"")</f>
        <v>2.9999999999999997E-4</v>
      </c>
      <c r="O68" s="103">
        <f>IFERROR(Baukon[[#This Row],[Dicke '[mm'] min]]/1000*Baukon[[#This Row],[Flächenanteil '[%']]],"")</f>
        <v>2.9999999999999997E-4</v>
      </c>
      <c r="P68" s="103">
        <f>IFERROR(Baukon[[#This Row],[Dicke '[mm'] max]]/1000*Baukon[[#This Row],[Flächenanteil '[%']]],"")</f>
        <v>2.9999999999999997E-4</v>
      </c>
      <c r="Q68"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0.36</v>
      </c>
      <c r="R68"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0.36</v>
      </c>
      <c r="S68"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0.36</v>
      </c>
      <c r="T68" s="42" t="s">
        <v>413</v>
      </c>
      <c r="U68" s="103" t="str">
        <f>_xlfn.XLOOKUP(Baukon[[#This Row],[Material]],LeitRess_Materialien[Name],LeitRess_Materialien[Material_UUID])</f>
        <v>35be6146-5a80-4a9e-a32d-5d05c03a8d5c</v>
      </c>
      <c r="V68" s="42">
        <f>_xlfn.XLOOKUP(Baukon[[#This Row],[LCA Datensatz]],LeitRess_Materialien[Material_UUID],LeitRess_Materialien[Rohdichte_'[kg/m3']])</f>
        <v>1200</v>
      </c>
      <c r="W68" s="42">
        <f>_xlfn.XLOOKUP(Baukon[[#This Row],[LCA Datensatz]],LeitRess_Materialien[Material_UUID],LeitRess_Materialien[Flächengewicht_'[kg/m2']])</f>
        <v>0</v>
      </c>
      <c r="X68" s="104">
        <f>_xlfn.XLOOKUP(Baukon[[#This Row],[LCA Datensatz]],LeitRess_Materialien[Material_UUID],LeitRess_Materialien[Längengewicht_'[kg/m']])</f>
        <v>0</v>
      </c>
      <c r="Y68" s="104">
        <f>_xlfn.XLOOKUP(Baukon[[#This Row],[LCA Datensatz]],LeitRess_Materialien[Material_UUID],LeitRess_Materialien[lambda_'[W/mK']])</f>
        <v>0</v>
      </c>
      <c r="Z68" s="103" t="str">
        <f>IFERROR(Baukon[[#This Row],[Dicke '[mm'] Referenz]]/Baukon[[#This Row],[lambda_'[W/mK']]],"")</f>
        <v/>
      </c>
      <c r="AA68" s="37">
        <f>_xlfn.XLOOKUP(Baukon[[#This Row],[LCA Datensatz]],LeitRess_Materialien[Material_UUID],LeitRess_Materialien[RMI '[kg Primärrohstoffe / kg']])*Baukon[[#This Row],[Masse '[kg/m²'] Referenz]]</f>
        <v>18.414918316349567</v>
      </c>
      <c r="AB68" s="37">
        <f>_xlfn.XLOOKUP(Baukon[[#This Row],[LCA Datensatz]],LeitRess_Materialien[Material_UUID],LeitRess_Materialien[RMI '[kg Primärrohstoffe / kg']])*Baukon[[#This Row],[Masse '[kg/m²'] min]]</f>
        <v>18.414918316349567</v>
      </c>
      <c r="AC68" s="37">
        <f>_xlfn.XLOOKUP(Baukon[[#This Row],[LCA Datensatz]],LeitRess_Materialien[Material_UUID],LeitRess_Materialien[RMI '[kg Primärrohstoffe / kg']])*Baukon[[#This Row],[Masse '[kg/m²'] max]]</f>
        <v>18.414918316349567</v>
      </c>
      <c r="AD68" s="37">
        <f>_xlfn.XLOOKUP(Baukon[[#This Row],[LCA Datensatz]],LeitRess_Materialien[Material_UUID],LeitRess_Materialien[TMR '[kg Gesamtmaterialaufwand/kg']])*Baukon[[#This Row],[Masse '[kg/m²'] Referenz]]</f>
        <v>19.283701585763701</v>
      </c>
      <c r="AE68" s="37">
        <f>_xlfn.XLOOKUP(Baukon[[#This Row],[LCA Datensatz]],LeitRess_Materialien[Material_UUID],LeitRess_Materialien[TMR '[kg Gesamtmaterialaufwand/kg']])*Baukon[[#This Row],[Masse '[kg/m²'] min]]</f>
        <v>19.283701585763701</v>
      </c>
      <c r="AF68" s="37">
        <f>_xlfn.XLOOKUP(Baukon[[#This Row],[LCA Datensatz]],LeitRess_Materialien[Material_UUID],LeitRess_Materialien[TMR '[kg Gesamtmaterialaufwand/kg']])*Baukon[[#This Row],[Masse '[kg/m²'] max]]</f>
        <v>19.283701585763701</v>
      </c>
      <c r="AG68" s="37">
        <f>_xlfn.XLOOKUP(Baukon[[#This Row],[LCA Datensatz]],LeitRess_Materialien[Material_UUID],LeitRess_Materialien[GWP '[kg CO2-Äqu./kg']])*Baukon[[#This Row],[Masse '[kg/m²'] Referenz]]</f>
        <v>1.4819675623276174</v>
      </c>
      <c r="AH68" s="37">
        <f>_xlfn.XLOOKUP(Baukon[[#This Row],[LCA Datensatz]],LeitRess_Materialien[Material_UUID],LeitRess_Materialien[GWP '[kg CO2-Äqu./kg']])*Baukon[[#This Row],[Masse '[kg/m²'] min]]</f>
        <v>1.4819675623276174</v>
      </c>
      <c r="AI68" s="37">
        <f>_xlfn.XLOOKUP(Baukon[[#This Row],[LCA Datensatz]],LeitRess_Materialien[Material_UUID],LeitRess_Materialien[GWP '[kg CO2-Äqu./kg']])*Baukon[[#This Row],[Masse '[kg/m²'] max]]</f>
        <v>1.4819675623276174</v>
      </c>
      <c r="AJ68" s="37">
        <f>_xlfn.XLOOKUP(Baukon[[#This Row],[LCA Datensatz]],LeitRess_Materialien[Material_UUID],LeitRess_Materialien[PENRT '[MJ/kg']])*Baukon[[#This Row],[Masse '[kg/m²'] Referenz]]</f>
        <v>26.487832156511757</v>
      </c>
      <c r="AK68" s="37">
        <f>_xlfn.XLOOKUP(Baukon[[#This Row],[LCA Datensatz]],LeitRess_Materialien[Material_UUID],LeitRess_Materialien[PENRT '[MJ/kg']])*Baukon[[#This Row],[Masse '[kg/m²'] min]]</f>
        <v>26.487832156511757</v>
      </c>
      <c r="AL68" s="37">
        <f>_xlfn.XLOOKUP(Baukon[[#This Row],[LCA Datensatz]],LeitRess_Materialien[Material_UUID],LeitRess_Materialien[PENRT '[MJ/kg']])*Baukon[[#This Row],[Masse '[kg/m²'] max]]</f>
        <v>26.487832156511757</v>
      </c>
      <c r="AM68" s="37" t="e">
        <f>_xlfn.XLOOKUP(Baukon[[#This Row],[LCA Datensatz]],LeitRess_Materialien[Material_UUID],#REF!)*Baukon[[#This Row],[Masse '[kg/m²'] Referenz]]</f>
        <v>#REF!</v>
      </c>
      <c r="AN68" s="37" t="e">
        <f>_xlfn.XLOOKUP(Baukon[[#This Row],[LCA Datensatz]],LeitRess_Materialien[Material_UUID],#REF!)*Baukon[[#This Row],[Masse '[kg/m²'] min]]</f>
        <v>#REF!</v>
      </c>
      <c r="AO68" s="37" t="e">
        <f>_xlfn.XLOOKUP(Baukon[[#This Row],[LCA Datensatz]],LeitRess_Materialien[Material_UUID],#REF!)*Baukon[[#This Row],[Masse '[kg/m²'] max]]</f>
        <v>#REF!</v>
      </c>
      <c r="AP68" s="37">
        <f>_xlfn.XLOOKUP(Baukon[[#This Row],[LCA Datensatz]],LeitRess_Materialien[Material_UUID],LeitRess_Materialien[WDP '[m³ weighted water/kg']])*Baukon[[#This Row],[Masse '[kg/m²'] Referenz]]</f>
        <v>1.5601151185896418</v>
      </c>
      <c r="AQ68" s="37">
        <f>_xlfn.XLOOKUP(Baukon[[#This Row],[LCA Datensatz]],LeitRess_Materialien[Material_UUID],LeitRess_Materialien[WDP '[m³ weighted water/kg']])*Baukon[[#This Row],[Masse '[kg/m²'] min]]</f>
        <v>1.5601151185896418</v>
      </c>
      <c r="AR68" s="37">
        <f>_xlfn.XLOOKUP(Baukon[[#This Row],[LCA Datensatz]],LeitRess_Materialien[Material_UUID],LeitRess_Materialien[WDP '[m³ weighted water/kg']])*Baukon[[#This Row],[Masse '[kg/m²'] max]]</f>
        <v>1.5601151185896418</v>
      </c>
      <c r="AS68" s="39">
        <f>Baukon[[#This Row],[GWP '[kg CO2-Äqu./m²'] Referenz]]/'Ausgabe Tabellen'!$C$21+Baukon[[#This Row],[PENRT '[MJ/m²'] Referenz]]/'Ausgabe Tabellen'!$C$22+Baukon[[#This Row],[RMI '[kg Primärrohstoffe/m²'] Referenz]]/'Ausgabe Tabellen'!$C$23+Baukon[[#This Row],[WDP '[m² weighted water/m²'] Referenz]]/'Ausgabe Tabellen'!$C$24</f>
        <v>9.663696742941237E-4</v>
      </c>
      <c r="AT68" s="39">
        <f>Baukon[[#This Row],[GWP '[kg CO2-Äqu./m²'] min]]/'Ausgabe Tabellen'!$C$21+Baukon[[#This Row],[PENRT '[MJ/m²'] min]]/'Ausgabe Tabellen'!$C$22+Baukon[[#This Row],[RMI '[kg Primärrohstoffe/m²'] min]]/'Ausgabe Tabellen'!$C$23+Baukon[[#This Row],[WDP '[m² weighted water/m²'] min]]/'Ausgabe Tabellen'!$C$24</f>
        <v>9.663696742941237E-4</v>
      </c>
      <c r="AU68" s="39">
        <f>Baukon[[#This Row],[GWP '[kg CO2-Äqu./m²'] max]]/'Ausgabe Tabellen'!$C$21+Baukon[[#This Row],[PENRT '[MJ/m²'] max]]/'Ausgabe Tabellen'!$C$22+Baukon[[#This Row],[RMI '[kg Primärrohstoffe/m²'] max]]/'Ausgabe Tabellen'!$C$23+Baukon[[#This Row],[WDP '[m² weighted water/m²'] max]]/'Ausgabe Tabellen'!$C$24</f>
        <v>9.663696742941237E-4</v>
      </c>
    </row>
    <row r="69" spans="1:47" s="24" customFormat="1" ht="15.75" x14ac:dyDescent="0.5">
      <c r="A69" s="36" t="s">
        <v>110</v>
      </c>
      <c r="B69" s="36" t="s">
        <v>326</v>
      </c>
      <c r="C69" s="36">
        <v>2</v>
      </c>
      <c r="D69" s="36" t="s">
        <v>303</v>
      </c>
      <c r="E69" s="36" t="str">
        <f>Baukon[[#This Row],[Variante Nummer]]&amp;". "&amp;Baukon[[#This Row],[Name Baukonstruktion]]&amp;" | " &amp;Baukon[[#This Row],[Variante Name]]</f>
        <v>2. Metalldecke | Referenz XPS</v>
      </c>
      <c r="F69" s="36" t="s">
        <v>327</v>
      </c>
      <c r="G69" s="36" t="s">
        <v>261</v>
      </c>
      <c r="H69" s="36" t="s">
        <v>225</v>
      </c>
      <c r="I69" s="41" t="s">
        <v>498</v>
      </c>
      <c r="J69" s="36" t="str">
        <f>IF(Baukon[[#This Row],[Material ist Dämmstoff?]]="ja",Baukon[[#This Row],[Dicke '[mm'] Referenz]]+_xlfn.XLOOKUP(RIGHT(Baukon[[#Headers],[Dicke '[mm'] min]],3),Dämmstoffvarianten[Variante],Dämmstoffvarianten[Differenz Dämmstoffedicke zu Referenz '[mm']]),Baukon[[#This Row],[Dicke '[mm'] Referenz]])</f>
        <v>12,5</v>
      </c>
      <c r="K69" s="36" t="str">
        <f>IF(Baukon[[#This Row],[Material ist Dämmstoff?]]="ja",Baukon[[#This Row],[Dicke '[mm'] Referenz]]+_xlfn.XLOOKUP(RIGHT(Baukon[[#Headers],[Dicke '[mm'] max]],3),Dämmstoffvarianten[Variante],Dämmstoffvarianten[Differenz Dämmstoffedicke zu Referenz '[mm']]),Baukon[[#This Row],[Dicke '[mm'] Referenz]])</f>
        <v>12,5</v>
      </c>
      <c r="L69" s="43">
        <v>1</v>
      </c>
      <c r="M69" s="41"/>
      <c r="N69" s="103">
        <f>IFERROR(Baukon[[#This Row],[Dicke '[mm'] Referenz]]/1000*Baukon[[#This Row],[Flächenanteil '[%']]],"")</f>
        <v>1.2500000000000001E-2</v>
      </c>
      <c r="O69" s="103">
        <f>IFERROR(Baukon[[#This Row],[Dicke '[mm'] min]]/1000*Baukon[[#This Row],[Flächenanteil '[%']]],"")</f>
        <v>1.2500000000000001E-2</v>
      </c>
      <c r="P69" s="103">
        <f>IFERROR(Baukon[[#This Row],[Dicke '[mm'] max]]/1000*Baukon[[#This Row],[Flächenanteil '[%']]],"")</f>
        <v>1.2500000000000001E-2</v>
      </c>
      <c r="Q69"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10</v>
      </c>
      <c r="R69"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10</v>
      </c>
      <c r="S69"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10</v>
      </c>
      <c r="T69" s="42" t="s">
        <v>226</v>
      </c>
      <c r="U69" s="103" t="str">
        <f>_xlfn.XLOOKUP(Baukon[[#This Row],[Material]],LeitRess_Materialien[Name],LeitRess_Materialien[Material_UUID])</f>
        <v>207cde6a-73be-4ffb-972d-30d3d8619fc3</v>
      </c>
      <c r="V69" s="42">
        <f>_xlfn.XLOOKUP(Baukon[[#This Row],[LCA Datensatz]],LeitRess_Materialien[Material_UUID],LeitRess_Materialien[Rohdichte_'[kg/m3']])</f>
        <v>800</v>
      </c>
      <c r="W69" s="42">
        <f>_xlfn.XLOOKUP(Baukon[[#This Row],[LCA Datensatz]],LeitRess_Materialien[Material_UUID],LeitRess_Materialien[Flächengewicht_'[kg/m2']])</f>
        <v>8.5</v>
      </c>
      <c r="X69" s="104">
        <f>_xlfn.XLOOKUP(Baukon[[#This Row],[LCA Datensatz]],LeitRess_Materialien[Material_UUID],LeitRess_Materialien[Längengewicht_'[kg/m']])</f>
        <v>0</v>
      </c>
      <c r="Y69" s="104">
        <f>_xlfn.XLOOKUP(Baukon[[#This Row],[LCA Datensatz]],LeitRess_Materialien[Material_UUID],LeitRess_Materialien[lambda_'[W/mK']])</f>
        <v>0.2</v>
      </c>
      <c r="Z69" s="103">
        <f>IFERROR(Baukon[[#This Row],[Dicke '[mm'] Referenz]]/Baukon[[#This Row],[lambda_'[W/mK']]],"")</f>
        <v>62.5</v>
      </c>
      <c r="AA69" s="37">
        <f>_xlfn.XLOOKUP(Baukon[[#This Row],[LCA Datensatz]],LeitRess_Materialien[Material_UUID],LeitRess_Materialien[RMI '[kg Primärrohstoffe / kg']])*Baukon[[#This Row],[Masse '[kg/m²'] Referenz]]</f>
        <v>9.6885190926662101</v>
      </c>
      <c r="AB69" s="37">
        <f>_xlfn.XLOOKUP(Baukon[[#This Row],[LCA Datensatz]],LeitRess_Materialien[Material_UUID],LeitRess_Materialien[RMI '[kg Primärrohstoffe / kg']])*Baukon[[#This Row],[Masse '[kg/m²'] min]]</f>
        <v>9.6885190926662101</v>
      </c>
      <c r="AC69" s="37">
        <f>_xlfn.XLOOKUP(Baukon[[#This Row],[LCA Datensatz]],LeitRess_Materialien[Material_UUID],LeitRess_Materialien[RMI '[kg Primärrohstoffe / kg']])*Baukon[[#This Row],[Masse '[kg/m²'] max]]</f>
        <v>9.6885190926662101</v>
      </c>
      <c r="AD69" s="37">
        <f>_xlfn.XLOOKUP(Baukon[[#This Row],[LCA Datensatz]],LeitRess_Materialien[Material_UUID],LeitRess_Materialien[TMR '[kg Gesamtmaterialaufwand/kg']])*Baukon[[#This Row],[Masse '[kg/m²'] Referenz]]</f>
        <v>10.504992021872901</v>
      </c>
      <c r="AE69" s="37">
        <f>_xlfn.XLOOKUP(Baukon[[#This Row],[LCA Datensatz]],LeitRess_Materialien[Material_UUID],LeitRess_Materialien[TMR '[kg Gesamtmaterialaufwand/kg']])*Baukon[[#This Row],[Masse '[kg/m²'] min]]</f>
        <v>10.504992021872901</v>
      </c>
      <c r="AF69" s="37">
        <f>_xlfn.XLOOKUP(Baukon[[#This Row],[LCA Datensatz]],LeitRess_Materialien[Material_UUID],LeitRess_Materialien[TMR '[kg Gesamtmaterialaufwand/kg']])*Baukon[[#This Row],[Masse '[kg/m²'] max]]</f>
        <v>10.504992021872901</v>
      </c>
      <c r="AG69" s="37">
        <f>_xlfn.XLOOKUP(Baukon[[#This Row],[LCA Datensatz]],LeitRess_Materialien[Material_UUID],LeitRess_Materialien[GWP '[kg CO2-Äqu./kg']])*Baukon[[#This Row],[Masse '[kg/m²'] Referenz]]</f>
        <v>2.5140556386449697</v>
      </c>
      <c r="AH69" s="37">
        <f>_xlfn.XLOOKUP(Baukon[[#This Row],[LCA Datensatz]],LeitRess_Materialien[Material_UUID],LeitRess_Materialien[GWP '[kg CO2-Äqu./kg']])*Baukon[[#This Row],[Masse '[kg/m²'] min]]</f>
        <v>2.5140556386449697</v>
      </c>
      <c r="AI69" s="37">
        <f>_xlfn.XLOOKUP(Baukon[[#This Row],[LCA Datensatz]],LeitRess_Materialien[Material_UUID],LeitRess_Materialien[GWP '[kg CO2-Äqu./kg']])*Baukon[[#This Row],[Masse '[kg/m²'] max]]</f>
        <v>2.5140556386449697</v>
      </c>
      <c r="AJ69" s="37">
        <f>_xlfn.XLOOKUP(Baukon[[#This Row],[LCA Datensatz]],LeitRess_Materialien[Material_UUID],LeitRess_Materialien[PENRT '[MJ/kg']])*Baukon[[#This Row],[Masse '[kg/m²'] Referenz]]</f>
        <v>38.560990916917703</v>
      </c>
      <c r="AK69" s="37">
        <f>_xlfn.XLOOKUP(Baukon[[#This Row],[LCA Datensatz]],LeitRess_Materialien[Material_UUID],LeitRess_Materialien[PENRT '[MJ/kg']])*Baukon[[#This Row],[Masse '[kg/m²'] min]]</f>
        <v>38.560990916917703</v>
      </c>
      <c r="AL69" s="37">
        <f>_xlfn.XLOOKUP(Baukon[[#This Row],[LCA Datensatz]],LeitRess_Materialien[Material_UUID],LeitRess_Materialien[PENRT '[MJ/kg']])*Baukon[[#This Row],[Masse '[kg/m²'] max]]</f>
        <v>38.560990916917703</v>
      </c>
      <c r="AM69" s="37" t="e">
        <f>_xlfn.XLOOKUP(Baukon[[#This Row],[LCA Datensatz]],LeitRess_Materialien[Material_UUID],#REF!)*Baukon[[#This Row],[Masse '[kg/m²'] Referenz]]</f>
        <v>#REF!</v>
      </c>
      <c r="AN69" s="37" t="e">
        <f>_xlfn.XLOOKUP(Baukon[[#This Row],[LCA Datensatz]],LeitRess_Materialien[Material_UUID],#REF!)*Baukon[[#This Row],[Masse '[kg/m²'] min]]</f>
        <v>#REF!</v>
      </c>
      <c r="AO69" s="37" t="e">
        <f>_xlfn.XLOOKUP(Baukon[[#This Row],[LCA Datensatz]],LeitRess_Materialien[Material_UUID],#REF!)*Baukon[[#This Row],[Masse '[kg/m²'] max]]</f>
        <v>#REF!</v>
      </c>
      <c r="AP69" s="37">
        <f>_xlfn.XLOOKUP(Baukon[[#This Row],[LCA Datensatz]],LeitRess_Materialien[Material_UUID],LeitRess_Materialien[WDP '[m³ weighted water/kg']])*Baukon[[#This Row],[Masse '[kg/m²'] Referenz]]</f>
        <v>1.2506783392176499</v>
      </c>
      <c r="AQ69" s="37">
        <f>_xlfn.XLOOKUP(Baukon[[#This Row],[LCA Datensatz]],LeitRess_Materialien[Material_UUID],LeitRess_Materialien[WDP '[m³ weighted water/kg']])*Baukon[[#This Row],[Masse '[kg/m²'] min]]</f>
        <v>1.2506783392176499</v>
      </c>
      <c r="AR69" s="37">
        <f>_xlfn.XLOOKUP(Baukon[[#This Row],[LCA Datensatz]],LeitRess_Materialien[Material_UUID],LeitRess_Materialien[WDP '[m³ weighted water/kg']])*Baukon[[#This Row],[Masse '[kg/m²'] max]]</f>
        <v>1.2506783392176499</v>
      </c>
      <c r="AS69" s="39">
        <f>Baukon[[#This Row],[GWP '[kg CO2-Äqu./m²'] Referenz]]/'Ausgabe Tabellen'!$C$21+Baukon[[#This Row],[PENRT '[MJ/m²'] Referenz]]/'Ausgabe Tabellen'!$C$22+Baukon[[#This Row],[RMI '[kg Primärrohstoffe/m²'] Referenz]]/'Ausgabe Tabellen'!$C$23+Baukon[[#This Row],[WDP '[m² weighted water/m²'] Referenz]]/'Ausgabe Tabellen'!$C$24</f>
        <v>8.7990794098609262E-4</v>
      </c>
      <c r="AT69" s="39">
        <f>Baukon[[#This Row],[GWP '[kg CO2-Äqu./m²'] min]]/'Ausgabe Tabellen'!$C$21+Baukon[[#This Row],[PENRT '[MJ/m²'] min]]/'Ausgabe Tabellen'!$C$22+Baukon[[#This Row],[RMI '[kg Primärrohstoffe/m²'] min]]/'Ausgabe Tabellen'!$C$23+Baukon[[#This Row],[WDP '[m² weighted water/m²'] min]]/'Ausgabe Tabellen'!$C$24</f>
        <v>8.7990794098609262E-4</v>
      </c>
      <c r="AU69" s="39">
        <f>Baukon[[#This Row],[GWP '[kg CO2-Äqu./m²'] max]]/'Ausgabe Tabellen'!$C$21+Baukon[[#This Row],[PENRT '[MJ/m²'] max]]/'Ausgabe Tabellen'!$C$22+Baukon[[#This Row],[RMI '[kg Primärrohstoffe/m²'] max]]/'Ausgabe Tabellen'!$C$23+Baukon[[#This Row],[WDP '[m² weighted water/m²'] max]]/'Ausgabe Tabellen'!$C$24</f>
        <v>8.7990794098609262E-4</v>
      </c>
    </row>
    <row r="70" spans="1:47" s="24" customFormat="1" ht="15.75" x14ac:dyDescent="0.5">
      <c r="A70" s="36" t="s">
        <v>110</v>
      </c>
      <c r="B70" s="36" t="s">
        <v>326</v>
      </c>
      <c r="C70" s="36">
        <v>2</v>
      </c>
      <c r="D70" s="36" t="s">
        <v>303</v>
      </c>
      <c r="E70" s="36" t="str">
        <f>Baukon[[#This Row],[Variante Nummer]]&amp;". "&amp;Baukon[[#This Row],[Name Baukonstruktion]]&amp;" | " &amp;Baukon[[#This Row],[Variante Name]]</f>
        <v>2. Metalldecke | Referenz XPS</v>
      </c>
      <c r="F70" s="36" t="s">
        <v>335</v>
      </c>
      <c r="G70" s="36" t="s">
        <v>290</v>
      </c>
      <c r="H70" s="36" t="s">
        <v>225</v>
      </c>
      <c r="I70" s="41">
        <v>160</v>
      </c>
      <c r="J70" s="36">
        <f>IF(Baukon[[#This Row],[Material ist Dämmstoff?]]="ja",Baukon[[#This Row],[Dicke '[mm'] Referenz]]+_xlfn.XLOOKUP(RIGHT(Baukon[[#Headers],[Dicke '[mm'] min]],3),Dämmstoffvarianten[Variante],Dämmstoffvarianten[Differenz Dämmstoffedicke zu Referenz '[mm']]),Baukon[[#This Row],[Dicke '[mm'] Referenz]])</f>
        <v>160</v>
      </c>
      <c r="K70" s="36">
        <f>IF(Baukon[[#This Row],[Material ist Dämmstoff?]]="ja",Baukon[[#This Row],[Dicke '[mm'] Referenz]]+_xlfn.XLOOKUP(RIGHT(Baukon[[#Headers],[Dicke '[mm'] max]],3),Dämmstoffvarianten[Variante],Dämmstoffvarianten[Differenz Dämmstoffedicke zu Referenz '[mm']]),Baukon[[#This Row],[Dicke '[mm'] Referenz]])</f>
        <v>160</v>
      </c>
      <c r="L70" s="43">
        <v>0.2</v>
      </c>
      <c r="M70" s="41">
        <v>0.2</v>
      </c>
      <c r="N70" s="103">
        <f>IFERROR(Baukon[[#This Row],[Dicke '[mm'] Referenz]]/1000*Baukon[[#This Row],[Flächenanteil '[%']]],"")</f>
        <v>3.2000000000000001E-2</v>
      </c>
      <c r="O70" s="103">
        <f>IFERROR(Baukon[[#This Row],[Dicke '[mm'] min]]/1000*Baukon[[#This Row],[Flächenanteil '[%']]],"")</f>
        <v>3.2000000000000001E-2</v>
      </c>
      <c r="P70" s="103">
        <f>IFERROR(Baukon[[#This Row],[Dicke '[mm'] max]]/1000*Baukon[[#This Row],[Flächenanteil '[%']]],"")</f>
        <v>3.2000000000000001E-2</v>
      </c>
      <c r="Q70"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6.08</v>
      </c>
      <c r="R70"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6.08</v>
      </c>
      <c r="S70"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6.08</v>
      </c>
      <c r="T70" s="42" t="s">
        <v>226</v>
      </c>
      <c r="U70" s="103" t="str">
        <f>_xlfn.XLOOKUP(Baukon[[#This Row],[Material]],LeitRess_Materialien[Name],LeitRess_Materialien[Material_UUID])</f>
        <v>38051c22-fbd1-4b0e-944a-ae348b8c7695</v>
      </c>
      <c r="V70" s="42">
        <f>_xlfn.XLOOKUP(Baukon[[#This Row],[LCA Datensatz]],LeitRess_Materialien[Material_UUID],LeitRess_Materialien[Rohdichte_'[kg/m3']])</f>
        <v>7850</v>
      </c>
      <c r="W70" s="42">
        <f>_xlfn.XLOOKUP(Baukon[[#This Row],[LCA Datensatz]],LeitRess_Materialien[Material_UUID],LeitRess_Materialien[Flächengewicht_'[kg/m2']])</f>
        <v>0</v>
      </c>
      <c r="X70" s="104">
        <f>_xlfn.XLOOKUP(Baukon[[#This Row],[LCA Datensatz]],LeitRess_Materialien[Material_UUID],LeitRess_Materialien[Längengewicht_'[kg/m']])</f>
        <v>30.4</v>
      </c>
      <c r="Y70" s="104">
        <f>_xlfn.XLOOKUP(Baukon[[#This Row],[LCA Datensatz]],LeitRess_Materialien[Material_UUID],LeitRess_Materialien[lambda_'[W/mK']])</f>
        <v>50</v>
      </c>
      <c r="Z70" s="103">
        <f>IFERROR(Baukon[[#This Row],[Dicke '[mm'] Referenz]]/Baukon[[#This Row],[lambda_'[W/mK']]],"")</f>
        <v>3.2</v>
      </c>
      <c r="AA70" s="37">
        <f>_xlfn.XLOOKUP(Baukon[[#This Row],[LCA Datensatz]],LeitRess_Materialien[Material_UUID],LeitRess_Materialien[RMI '[kg Primärrohstoffe / kg']])*Baukon[[#This Row],[Masse '[kg/m²'] Referenz]]</f>
        <v>36.119347387548679</v>
      </c>
      <c r="AB70" s="37">
        <f>_xlfn.XLOOKUP(Baukon[[#This Row],[LCA Datensatz]],LeitRess_Materialien[Material_UUID],LeitRess_Materialien[RMI '[kg Primärrohstoffe / kg']])*Baukon[[#This Row],[Masse '[kg/m²'] min]]</f>
        <v>36.119347387548679</v>
      </c>
      <c r="AC70" s="37">
        <f>_xlfn.XLOOKUP(Baukon[[#This Row],[LCA Datensatz]],LeitRess_Materialien[Material_UUID],LeitRess_Materialien[RMI '[kg Primärrohstoffe / kg']])*Baukon[[#This Row],[Masse '[kg/m²'] max]]</f>
        <v>36.119347387548679</v>
      </c>
      <c r="AD70" s="37">
        <f>_xlfn.XLOOKUP(Baukon[[#This Row],[LCA Datensatz]],LeitRess_Materialien[Material_UUID],LeitRess_Materialien[TMR '[kg Gesamtmaterialaufwand/kg']])*Baukon[[#This Row],[Masse '[kg/m²'] Referenz]]</f>
        <v>56.376505694449037</v>
      </c>
      <c r="AE70" s="37">
        <f>_xlfn.XLOOKUP(Baukon[[#This Row],[LCA Datensatz]],LeitRess_Materialien[Material_UUID],LeitRess_Materialien[TMR '[kg Gesamtmaterialaufwand/kg']])*Baukon[[#This Row],[Masse '[kg/m²'] min]]</f>
        <v>56.376505694449037</v>
      </c>
      <c r="AF70" s="37">
        <f>_xlfn.XLOOKUP(Baukon[[#This Row],[LCA Datensatz]],LeitRess_Materialien[Material_UUID],LeitRess_Materialien[TMR '[kg Gesamtmaterialaufwand/kg']])*Baukon[[#This Row],[Masse '[kg/m²'] max]]</f>
        <v>56.376505694449037</v>
      </c>
      <c r="AG70" s="37">
        <f>_xlfn.XLOOKUP(Baukon[[#This Row],[LCA Datensatz]],LeitRess_Materialien[Material_UUID],LeitRess_Materialien[GWP '[kg CO2-Äqu./kg']])*Baukon[[#This Row],[Masse '[kg/m²'] Referenz]]</f>
        <v>13.238896995263897</v>
      </c>
      <c r="AH70" s="37">
        <f>_xlfn.XLOOKUP(Baukon[[#This Row],[LCA Datensatz]],LeitRess_Materialien[Material_UUID],LeitRess_Materialien[GWP '[kg CO2-Äqu./kg']])*Baukon[[#This Row],[Masse '[kg/m²'] min]]</f>
        <v>13.238896995263897</v>
      </c>
      <c r="AI70" s="37">
        <f>_xlfn.XLOOKUP(Baukon[[#This Row],[LCA Datensatz]],LeitRess_Materialien[Material_UUID],LeitRess_Materialien[GWP '[kg CO2-Äqu./kg']])*Baukon[[#This Row],[Masse '[kg/m²'] max]]</f>
        <v>13.238896995263897</v>
      </c>
      <c r="AJ70" s="37">
        <f>_xlfn.XLOOKUP(Baukon[[#This Row],[LCA Datensatz]],LeitRess_Materialien[Material_UUID],LeitRess_Materialien[PENRT '[MJ/kg']])*Baukon[[#This Row],[Masse '[kg/m²'] Referenz]]</f>
        <v>192.68175266975854</v>
      </c>
      <c r="AK70" s="37">
        <f>_xlfn.XLOOKUP(Baukon[[#This Row],[LCA Datensatz]],LeitRess_Materialien[Material_UUID],LeitRess_Materialien[PENRT '[MJ/kg']])*Baukon[[#This Row],[Masse '[kg/m²'] min]]</f>
        <v>192.68175266975854</v>
      </c>
      <c r="AL70" s="37">
        <f>_xlfn.XLOOKUP(Baukon[[#This Row],[LCA Datensatz]],LeitRess_Materialien[Material_UUID],LeitRess_Materialien[PENRT '[MJ/kg']])*Baukon[[#This Row],[Masse '[kg/m²'] max]]</f>
        <v>192.68175266975854</v>
      </c>
      <c r="AM70" s="37" t="e">
        <f>_xlfn.XLOOKUP(Baukon[[#This Row],[LCA Datensatz]],LeitRess_Materialien[Material_UUID],#REF!)*Baukon[[#This Row],[Masse '[kg/m²'] Referenz]]</f>
        <v>#REF!</v>
      </c>
      <c r="AN70" s="37" t="e">
        <f>_xlfn.XLOOKUP(Baukon[[#This Row],[LCA Datensatz]],LeitRess_Materialien[Material_UUID],#REF!)*Baukon[[#This Row],[Masse '[kg/m²'] min]]</f>
        <v>#REF!</v>
      </c>
      <c r="AO70" s="37" t="e">
        <f>_xlfn.XLOOKUP(Baukon[[#This Row],[LCA Datensatz]],LeitRess_Materialien[Material_UUID],#REF!)*Baukon[[#This Row],[Masse '[kg/m²'] max]]</f>
        <v>#REF!</v>
      </c>
      <c r="AP70" s="37">
        <f>_xlfn.XLOOKUP(Baukon[[#This Row],[LCA Datensatz]],LeitRess_Materialien[Material_UUID],LeitRess_Materialien[WDP '[m³ weighted water/kg']])*Baukon[[#This Row],[Masse '[kg/m²'] Referenz]]</f>
        <v>6.6459238526822819</v>
      </c>
      <c r="AQ70" s="37">
        <f>_xlfn.XLOOKUP(Baukon[[#This Row],[LCA Datensatz]],LeitRess_Materialien[Material_UUID],LeitRess_Materialien[WDP '[m³ weighted water/kg']])*Baukon[[#This Row],[Masse '[kg/m²'] min]]</f>
        <v>6.6459238526822819</v>
      </c>
      <c r="AR70" s="37">
        <f>_xlfn.XLOOKUP(Baukon[[#This Row],[LCA Datensatz]],LeitRess_Materialien[Material_UUID],LeitRess_Materialien[WDP '[m³ weighted water/kg']])*Baukon[[#This Row],[Masse '[kg/m²'] max]]</f>
        <v>6.6459238526822819</v>
      </c>
      <c r="AS70" s="39">
        <f>Baukon[[#This Row],[GWP '[kg CO2-Äqu./m²'] Referenz]]/'Ausgabe Tabellen'!$C$21+Baukon[[#This Row],[PENRT '[MJ/m²'] Referenz]]/'Ausgabe Tabellen'!$C$22+Baukon[[#This Row],[RMI '[kg Primärrohstoffe/m²'] Referenz]]/'Ausgabe Tabellen'!$C$23+Baukon[[#This Row],[WDP '[m² weighted water/m²'] Referenz]]/'Ausgabe Tabellen'!$C$24</f>
        <v>4.1565579708814143E-3</v>
      </c>
      <c r="AT70" s="39">
        <f>Baukon[[#This Row],[GWP '[kg CO2-Äqu./m²'] min]]/'Ausgabe Tabellen'!$C$21+Baukon[[#This Row],[PENRT '[MJ/m²'] min]]/'Ausgabe Tabellen'!$C$22+Baukon[[#This Row],[RMI '[kg Primärrohstoffe/m²'] min]]/'Ausgabe Tabellen'!$C$23+Baukon[[#This Row],[WDP '[m² weighted water/m²'] min]]/'Ausgabe Tabellen'!$C$24</f>
        <v>4.1565579708814143E-3</v>
      </c>
      <c r="AU70" s="39">
        <f>Baukon[[#This Row],[GWP '[kg CO2-Äqu./m²'] max]]/'Ausgabe Tabellen'!$C$21+Baukon[[#This Row],[PENRT '[MJ/m²'] max]]/'Ausgabe Tabellen'!$C$22+Baukon[[#This Row],[RMI '[kg Primärrohstoffe/m²'] max]]/'Ausgabe Tabellen'!$C$23+Baukon[[#This Row],[WDP '[m² weighted water/m²'] max]]/'Ausgabe Tabellen'!$C$24</f>
        <v>4.1565579708814143E-3</v>
      </c>
    </row>
    <row r="71" spans="1:47" s="24" customFormat="1" ht="15.75" x14ac:dyDescent="0.5">
      <c r="A71" s="36" t="s">
        <v>110</v>
      </c>
      <c r="B71" s="36" t="s">
        <v>326</v>
      </c>
      <c r="C71" s="36">
        <v>2</v>
      </c>
      <c r="D71" s="36" t="s">
        <v>303</v>
      </c>
      <c r="E71" s="36" t="str">
        <f>Baukon[[#This Row],[Variante Nummer]]&amp;". "&amp;Baukon[[#This Row],[Name Baukonstruktion]]&amp;" | " &amp;Baukon[[#This Row],[Variante Name]]</f>
        <v>2. Metalldecke | Referenz XPS</v>
      </c>
      <c r="F71" s="36" t="s">
        <v>335</v>
      </c>
      <c r="G71" s="36" t="s">
        <v>290</v>
      </c>
      <c r="H71" s="36" t="s">
        <v>225</v>
      </c>
      <c r="I71" s="41">
        <v>80</v>
      </c>
      <c r="J71" s="36">
        <f>IF(Baukon[[#This Row],[Material ist Dämmstoff?]]="ja",Baukon[[#This Row],[Dicke '[mm'] Referenz]]+_xlfn.XLOOKUP(RIGHT(Baukon[[#Headers],[Dicke '[mm'] min]],3),Dämmstoffvarianten[Variante],Dämmstoffvarianten[Differenz Dämmstoffedicke zu Referenz '[mm']]),Baukon[[#This Row],[Dicke '[mm'] Referenz]])</f>
        <v>80</v>
      </c>
      <c r="K71" s="36">
        <f>IF(Baukon[[#This Row],[Material ist Dämmstoff?]]="ja",Baukon[[#This Row],[Dicke '[mm'] Referenz]]+_xlfn.XLOOKUP(RIGHT(Baukon[[#Headers],[Dicke '[mm'] max]],3),Dämmstoffvarianten[Variante],Dämmstoffvarianten[Differenz Dämmstoffedicke zu Referenz '[mm']]),Baukon[[#This Row],[Dicke '[mm'] Referenz]])</f>
        <v>80</v>
      </c>
      <c r="L71" s="43">
        <v>0.2</v>
      </c>
      <c r="M71" s="41">
        <v>0.2</v>
      </c>
      <c r="N71" s="103">
        <f>IFERROR(Baukon[[#This Row],[Dicke '[mm'] Referenz]]/1000*Baukon[[#This Row],[Flächenanteil '[%']]],"")</f>
        <v>1.6E-2</v>
      </c>
      <c r="O71" s="103">
        <f>IFERROR(Baukon[[#This Row],[Dicke '[mm'] min]]/1000*Baukon[[#This Row],[Flächenanteil '[%']]],"")</f>
        <v>1.6E-2</v>
      </c>
      <c r="P71" s="103">
        <f>IFERROR(Baukon[[#This Row],[Dicke '[mm'] max]]/1000*Baukon[[#This Row],[Flächenanteil '[%']]],"")</f>
        <v>1.6E-2</v>
      </c>
      <c r="Q71"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3</v>
      </c>
      <c r="R71"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3</v>
      </c>
      <c r="S71"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3</v>
      </c>
      <c r="T71" s="42" t="s">
        <v>454</v>
      </c>
      <c r="U71" s="103" t="str">
        <f>_xlfn.XLOOKUP(Baukon[[#This Row],[Material]],LeitRess_Materialien[Name],LeitRess_Materialien[Material_UUID])</f>
        <v>38051c22-fbd1-4b0e-944a-ae348b8c7695</v>
      </c>
      <c r="V71" s="42">
        <f>_xlfn.XLOOKUP(Baukon[[#This Row],[LCA Datensatz]],LeitRess_Materialien[Material_UUID],LeitRess_Materialien[Rohdichte_'[kg/m3']])</f>
        <v>7850</v>
      </c>
      <c r="W71" s="42">
        <f>_xlfn.XLOOKUP(Baukon[[#This Row],[LCA Datensatz]],LeitRess_Materialien[Material_UUID],LeitRess_Materialien[Flächengewicht_'[kg/m2']])</f>
        <v>0</v>
      </c>
      <c r="X71" s="104">
        <v>15</v>
      </c>
      <c r="Y71" s="104">
        <f>_xlfn.XLOOKUP(Baukon[[#This Row],[LCA Datensatz]],LeitRess_Materialien[Material_UUID],LeitRess_Materialien[lambda_'[W/mK']])</f>
        <v>50</v>
      </c>
      <c r="Z71" s="103">
        <f>IFERROR(Baukon[[#This Row],[Dicke '[mm'] Referenz]]/Baukon[[#This Row],[lambda_'[W/mK']]],"")</f>
        <v>1.6</v>
      </c>
      <c r="AA71" s="37">
        <f>_xlfn.XLOOKUP(Baukon[[#This Row],[LCA Datensatz]],LeitRess_Materialien[Material_UUID],LeitRess_Materialien[RMI '[kg Primärrohstoffe / kg']])*Baukon[[#This Row],[Masse '[kg/m²'] Referenz]]</f>
        <v>17.822046408329939</v>
      </c>
      <c r="AB71" s="37">
        <f>_xlfn.XLOOKUP(Baukon[[#This Row],[LCA Datensatz]],LeitRess_Materialien[Material_UUID],LeitRess_Materialien[RMI '[kg Primärrohstoffe / kg']])*Baukon[[#This Row],[Masse '[kg/m²'] min]]</f>
        <v>17.822046408329939</v>
      </c>
      <c r="AC71" s="37">
        <f>_xlfn.XLOOKUP(Baukon[[#This Row],[LCA Datensatz]],LeitRess_Materialien[Material_UUID],LeitRess_Materialien[RMI '[kg Primärrohstoffe / kg']])*Baukon[[#This Row],[Masse '[kg/m²'] max]]</f>
        <v>17.822046408329939</v>
      </c>
      <c r="AD71" s="37">
        <f>_xlfn.XLOOKUP(Baukon[[#This Row],[LCA Datensatz]],LeitRess_Materialien[Material_UUID],LeitRess_Materialien[TMR '[kg Gesamtmaterialaufwand/kg']])*Baukon[[#This Row],[Masse '[kg/m²'] Referenz]]</f>
        <v>27.817354783445246</v>
      </c>
      <c r="AE71" s="37">
        <f>_xlfn.XLOOKUP(Baukon[[#This Row],[LCA Datensatz]],LeitRess_Materialien[Material_UUID],LeitRess_Materialien[TMR '[kg Gesamtmaterialaufwand/kg']])*Baukon[[#This Row],[Masse '[kg/m²'] min]]</f>
        <v>27.817354783445246</v>
      </c>
      <c r="AF71" s="37">
        <f>_xlfn.XLOOKUP(Baukon[[#This Row],[LCA Datensatz]],LeitRess_Materialien[Material_UUID],LeitRess_Materialien[TMR '[kg Gesamtmaterialaufwand/kg']])*Baukon[[#This Row],[Masse '[kg/m²'] max]]</f>
        <v>27.817354783445246</v>
      </c>
      <c r="AG71" s="37">
        <f>_xlfn.XLOOKUP(Baukon[[#This Row],[LCA Datensatz]],LeitRess_Materialien[Material_UUID],LeitRess_Materialien[GWP '[kg CO2-Äqu./kg']])*Baukon[[#This Row],[Masse '[kg/m²'] Referenz]]</f>
        <v>6.5323504910841592</v>
      </c>
      <c r="AH71" s="37">
        <f>_xlfn.XLOOKUP(Baukon[[#This Row],[LCA Datensatz]],LeitRess_Materialien[Material_UUID],LeitRess_Materialien[GWP '[kg CO2-Äqu./kg']])*Baukon[[#This Row],[Masse '[kg/m²'] min]]</f>
        <v>6.5323504910841592</v>
      </c>
      <c r="AI71" s="37">
        <f>_xlfn.XLOOKUP(Baukon[[#This Row],[LCA Datensatz]],LeitRess_Materialien[Material_UUID],LeitRess_Materialien[GWP '[kg CO2-Äqu./kg']])*Baukon[[#This Row],[Masse '[kg/m²'] max]]</f>
        <v>6.5323504910841592</v>
      </c>
      <c r="AJ71" s="37">
        <f>_xlfn.XLOOKUP(Baukon[[#This Row],[LCA Datensatz]],LeitRess_Materialien[Material_UUID],LeitRess_Materialien[PENRT '[MJ/kg']])*Baukon[[#This Row],[Masse '[kg/m²'] Referenz]]</f>
        <v>95.073233225209805</v>
      </c>
      <c r="AK71" s="37">
        <f>_xlfn.XLOOKUP(Baukon[[#This Row],[LCA Datensatz]],LeitRess_Materialien[Material_UUID],LeitRess_Materialien[PENRT '[MJ/kg']])*Baukon[[#This Row],[Masse '[kg/m²'] min]]</f>
        <v>95.073233225209805</v>
      </c>
      <c r="AL71" s="37">
        <f>_xlfn.XLOOKUP(Baukon[[#This Row],[LCA Datensatz]],LeitRess_Materialien[Material_UUID],LeitRess_Materialien[PENRT '[MJ/kg']])*Baukon[[#This Row],[Masse '[kg/m²'] max]]</f>
        <v>95.073233225209805</v>
      </c>
      <c r="AM71" s="37" t="e">
        <f>_xlfn.XLOOKUP(Baukon[[#This Row],[LCA Datensatz]],LeitRess_Materialien[Material_UUID],#REF!)*Baukon[[#This Row],[Masse '[kg/m²'] Referenz]]</f>
        <v>#REF!</v>
      </c>
      <c r="AN71" s="37" t="e">
        <f>_xlfn.XLOOKUP(Baukon[[#This Row],[LCA Datensatz]],LeitRess_Materialien[Material_UUID],#REF!)*Baukon[[#This Row],[Masse '[kg/m²'] min]]</f>
        <v>#REF!</v>
      </c>
      <c r="AO71" s="37" t="e">
        <f>_xlfn.XLOOKUP(Baukon[[#This Row],[LCA Datensatz]],LeitRess_Materialien[Material_UUID],#REF!)*Baukon[[#This Row],[Masse '[kg/m²'] max]]</f>
        <v>#REF!</v>
      </c>
      <c r="AP71" s="37">
        <f>_xlfn.XLOOKUP(Baukon[[#This Row],[LCA Datensatz]],LeitRess_Materialien[Material_UUID],LeitRess_Materialien[WDP '[m³ weighted water/kg']])*Baukon[[#This Row],[Masse '[kg/m²'] Referenz]]</f>
        <v>3.2792387430998104</v>
      </c>
      <c r="AQ71" s="37">
        <f>_xlfn.XLOOKUP(Baukon[[#This Row],[LCA Datensatz]],LeitRess_Materialien[Material_UUID],LeitRess_Materialien[WDP '[m³ weighted water/kg']])*Baukon[[#This Row],[Masse '[kg/m²'] min]]</f>
        <v>3.2792387430998104</v>
      </c>
      <c r="AR71" s="37">
        <f>_xlfn.XLOOKUP(Baukon[[#This Row],[LCA Datensatz]],LeitRess_Materialien[Material_UUID],LeitRess_Materialien[WDP '[m³ weighted water/kg']])*Baukon[[#This Row],[Masse '[kg/m²'] max]]</f>
        <v>3.2792387430998104</v>
      </c>
      <c r="AS71" s="39">
        <f>Baukon[[#This Row],[GWP '[kg CO2-Äqu./m²'] Referenz]]/'Ausgabe Tabellen'!$C$21+Baukon[[#This Row],[PENRT '[MJ/m²'] Referenz]]/'Ausgabe Tabellen'!$C$22+Baukon[[#This Row],[RMI '[kg Primärrohstoffe/m²'] Referenz]]/'Ausgabe Tabellen'!$C$23+Baukon[[#This Row],[WDP '[m² weighted water/m²'] Referenz]]/'Ausgabe Tabellen'!$C$24</f>
        <v>2.0509332093164873E-3</v>
      </c>
      <c r="AT71" s="39">
        <f>Baukon[[#This Row],[GWP '[kg CO2-Äqu./m²'] min]]/'Ausgabe Tabellen'!$C$21+Baukon[[#This Row],[PENRT '[MJ/m²'] min]]/'Ausgabe Tabellen'!$C$22+Baukon[[#This Row],[RMI '[kg Primärrohstoffe/m²'] min]]/'Ausgabe Tabellen'!$C$23+Baukon[[#This Row],[WDP '[m² weighted water/m²'] min]]/'Ausgabe Tabellen'!$C$24</f>
        <v>2.0509332093164873E-3</v>
      </c>
      <c r="AU71" s="39">
        <f>Baukon[[#This Row],[GWP '[kg CO2-Äqu./m²'] max]]/'Ausgabe Tabellen'!$C$21+Baukon[[#This Row],[PENRT '[MJ/m²'] max]]/'Ausgabe Tabellen'!$C$22+Baukon[[#This Row],[RMI '[kg Primärrohstoffe/m²'] max]]/'Ausgabe Tabellen'!$C$23+Baukon[[#This Row],[WDP '[m² weighted water/m²'] max]]/'Ausgabe Tabellen'!$C$24</f>
        <v>2.0509332093164873E-3</v>
      </c>
    </row>
    <row r="72" spans="1:47" s="24" customFormat="1" ht="15.75" x14ac:dyDescent="0.5">
      <c r="A72" s="36" t="s">
        <v>110</v>
      </c>
      <c r="B72" s="36" t="s">
        <v>326</v>
      </c>
      <c r="C72" s="36">
        <v>2</v>
      </c>
      <c r="D72" s="36" t="s">
        <v>303</v>
      </c>
      <c r="E72" s="36" t="str">
        <f>Baukon[[#This Row],[Variante Nummer]]&amp;". "&amp;Baukon[[#This Row],[Name Baukonstruktion]]&amp;" | " &amp;Baukon[[#This Row],[Variante Name]]</f>
        <v>2. Metalldecke | Referenz XPS</v>
      </c>
      <c r="F72" s="36" t="s">
        <v>337</v>
      </c>
      <c r="G72" s="36" t="s">
        <v>270</v>
      </c>
      <c r="H72" s="36" t="s">
        <v>228</v>
      </c>
      <c r="I72" s="41">
        <v>140</v>
      </c>
      <c r="J72" s="36">
        <f>IF(Baukon[[#This Row],[Material ist Dämmstoff?]]="ja",Baukon[[#This Row],[Dicke '[mm'] Referenz]]+_xlfn.XLOOKUP(RIGHT(Baukon[[#Headers],[Dicke '[mm'] min]],3),Dämmstoffvarianten[Variante],Dämmstoffvarianten[Differenz Dämmstoffedicke zu Referenz '[mm']]),Baukon[[#This Row],[Dicke '[mm'] Referenz]])</f>
        <v>100</v>
      </c>
      <c r="K72" s="36">
        <f>IF(Baukon[[#This Row],[Material ist Dämmstoff?]]="ja",Baukon[[#This Row],[Dicke '[mm'] Referenz]]+_xlfn.XLOOKUP(RIGHT(Baukon[[#Headers],[Dicke '[mm'] max]],3),Dämmstoffvarianten[Variante],Dämmstoffvarianten[Differenz Dämmstoffedicke zu Referenz '[mm']]),Baukon[[#This Row],[Dicke '[mm'] Referenz]])</f>
        <v>220</v>
      </c>
      <c r="L72" s="43">
        <v>1</v>
      </c>
      <c r="M72" s="41">
        <v>1</v>
      </c>
      <c r="N72" s="103">
        <f>IFERROR(Baukon[[#This Row],[Dicke '[mm'] Referenz]]/1000*Baukon[[#This Row],[Flächenanteil '[%']]],"")</f>
        <v>0.14000000000000001</v>
      </c>
      <c r="O72" s="103">
        <f>IFERROR(Baukon[[#This Row],[Dicke '[mm'] min]]/1000*Baukon[[#This Row],[Flächenanteil '[%']]],"")</f>
        <v>0.1</v>
      </c>
      <c r="P72" s="103">
        <f>IFERROR(Baukon[[#This Row],[Dicke '[mm'] max]]/1000*Baukon[[#This Row],[Flächenanteil '[%']]],"")</f>
        <v>0.22</v>
      </c>
      <c r="Q72"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4.4800000000000004</v>
      </c>
      <c r="R72"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3.2</v>
      </c>
      <c r="S72"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7.04</v>
      </c>
      <c r="T72" s="42" t="s">
        <v>417</v>
      </c>
      <c r="U72" s="103" t="str">
        <f>_xlfn.XLOOKUP(Baukon[[#This Row],[Material]],LeitRess_Materialien[Name],LeitRess_Materialien[Material_UUID])</f>
        <v>43e99b8c-90d8-4fcd-90ce-342fb0b7366e</v>
      </c>
      <c r="V72" s="42">
        <f>_xlfn.XLOOKUP(Baukon[[#This Row],[LCA Datensatz]],LeitRess_Materialien[Material_UUID],LeitRess_Materialien[Rohdichte_'[kg/m3']])</f>
        <v>32</v>
      </c>
      <c r="W72" s="42">
        <f>_xlfn.XLOOKUP(Baukon[[#This Row],[LCA Datensatz]],LeitRess_Materialien[Material_UUID],LeitRess_Materialien[Flächengewicht_'[kg/m2']])</f>
        <v>0</v>
      </c>
      <c r="X72" s="104">
        <f>_xlfn.XLOOKUP(Baukon[[#This Row],[LCA Datensatz]],LeitRess_Materialien[Material_UUID],LeitRess_Materialien[Längengewicht_'[kg/m']])</f>
        <v>0</v>
      </c>
      <c r="Y72" s="104">
        <f>_xlfn.XLOOKUP(Baukon[[#This Row],[LCA Datensatz]],LeitRess_Materialien[Material_UUID],LeitRess_Materialien[lambda_'[W/mK']])</f>
        <v>3.6999999999999998E-2</v>
      </c>
      <c r="Z72" s="103">
        <f>IFERROR(Baukon[[#This Row],[Dicke '[mm'] Referenz]]/Baukon[[#This Row],[lambda_'[W/mK']]],"")</f>
        <v>3783.7837837837837</v>
      </c>
      <c r="AA72" s="37">
        <f>_xlfn.XLOOKUP(Baukon[[#This Row],[LCA Datensatz]],LeitRess_Materialien[Material_UUID],LeitRess_Materialien[RMI '[kg Primärrohstoffe / kg']])*Baukon[[#This Row],[Masse '[kg/m²'] Referenz]]</f>
        <v>11.915567487274574</v>
      </c>
      <c r="AB72" s="37">
        <f>_xlfn.XLOOKUP(Baukon[[#This Row],[LCA Datensatz]],LeitRess_Materialien[Material_UUID],LeitRess_Materialien[RMI '[kg Primärrohstoffe / kg']])*Baukon[[#This Row],[Masse '[kg/m²'] min]]</f>
        <v>8.511119633767553</v>
      </c>
      <c r="AC72" s="37">
        <f>_xlfn.XLOOKUP(Baukon[[#This Row],[LCA Datensatz]],LeitRess_Materialien[Material_UUID],LeitRess_Materialien[RMI '[kg Primärrohstoffe / kg']])*Baukon[[#This Row],[Masse '[kg/m²'] max]]</f>
        <v>18.724463194288614</v>
      </c>
      <c r="AD72" s="37">
        <f>_xlfn.XLOOKUP(Baukon[[#This Row],[LCA Datensatz]],LeitRess_Materialien[Material_UUID],LeitRess_Materialien[TMR '[kg Gesamtmaterialaufwand/kg']])*Baukon[[#This Row],[Masse '[kg/m²'] Referenz]]</f>
        <v>14.689793254348174</v>
      </c>
      <c r="AE72" s="37">
        <f>_xlfn.XLOOKUP(Baukon[[#This Row],[LCA Datensatz]],LeitRess_Materialien[Material_UUID],LeitRess_Materialien[TMR '[kg Gesamtmaterialaufwand/kg']])*Baukon[[#This Row],[Masse '[kg/m²'] min]]</f>
        <v>10.492709467391553</v>
      </c>
      <c r="AF72" s="37">
        <f>_xlfn.XLOOKUP(Baukon[[#This Row],[LCA Datensatz]],LeitRess_Materialien[Material_UUID],LeitRess_Materialien[TMR '[kg Gesamtmaterialaufwand/kg']])*Baukon[[#This Row],[Masse '[kg/m²'] max]]</f>
        <v>23.083960828261414</v>
      </c>
      <c r="AG72" s="37">
        <f>_xlfn.XLOOKUP(Baukon[[#This Row],[LCA Datensatz]],LeitRess_Materialien[Material_UUID],LeitRess_Materialien[GWP '[kg CO2-Äqu./kg']])*Baukon[[#This Row],[Masse '[kg/m²'] Referenz]]</f>
        <v>18.238828078980589</v>
      </c>
      <c r="AH72" s="37">
        <f>_xlfn.XLOOKUP(Baukon[[#This Row],[LCA Datensatz]],LeitRess_Materialien[Material_UUID],LeitRess_Materialien[GWP '[kg CO2-Äqu./kg']])*Baukon[[#This Row],[Masse '[kg/m²'] min]]</f>
        <v>13.027734342128992</v>
      </c>
      <c r="AI72" s="37">
        <f>_xlfn.XLOOKUP(Baukon[[#This Row],[LCA Datensatz]],LeitRess_Materialien[Material_UUID],LeitRess_Materialien[GWP '[kg CO2-Äqu./kg']])*Baukon[[#This Row],[Masse '[kg/m²'] max]]</f>
        <v>28.661015552683782</v>
      </c>
      <c r="AJ72" s="37">
        <f>_xlfn.XLOOKUP(Baukon[[#This Row],[LCA Datensatz]],LeitRess_Materialien[Material_UUID],LeitRess_Materialien[PENRT '[MJ/kg']])*Baukon[[#This Row],[Masse '[kg/m²'] Referenz]]</f>
        <v>422.66865453497041</v>
      </c>
      <c r="AK72" s="37">
        <f>_xlfn.XLOOKUP(Baukon[[#This Row],[LCA Datensatz]],LeitRess_Materialien[Material_UUID],LeitRess_Materialien[PENRT '[MJ/kg']])*Baukon[[#This Row],[Masse '[kg/m²'] min]]</f>
        <v>301.90618181069311</v>
      </c>
      <c r="AL72" s="37">
        <f>_xlfn.XLOOKUP(Baukon[[#This Row],[LCA Datensatz]],LeitRess_Materialien[Material_UUID],LeitRess_Materialien[PENRT '[MJ/kg']])*Baukon[[#This Row],[Masse '[kg/m²'] max]]</f>
        <v>664.1935999835249</v>
      </c>
      <c r="AM72" s="37" t="e">
        <f>_xlfn.XLOOKUP(Baukon[[#This Row],[LCA Datensatz]],LeitRess_Materialien[Material_UUID],#REF!)*Baukon[[#This Row],[Masse '[kg/m²'] Referenz]]</f>
        <v>#REF!</v>
      </c>
      <c r="AN72" s="37" t="e">
        <f>_xlfn.XLOOKUP(Baukon[[#This Row],[LCA Datensatz]],LeitRess_Materialien[Material_UUID],#REF!)*Baukon[[#This Row],[Masse '[kg/m²'] min]]</f>
        <v>#REF!</v>
      </c>
      <c r="AO72" s="37" t="e">
        <f>_xlfn.XLOOKUP(Baukon[[#This Row],[LCA Datensatz]],LeitRess_Materialien[Material_UUID],#REF!)*Baukon[[#This Row],[Masse '[kg/m²'] max]]</f>
        <v>#REF!</v>
      </c>
      <c r="AP72" s="37">
        <f>_xlfn.XLOOKUP(Baukon[[#This Row],[LCA Datensatz]],LeitRess_Materialien[Material_UUID],LeitRess_Materialien[WDP '[m³ weighted water/kg']])*Baukon[[#This Row],[Masse '[kg/m²'] Referenz]]</f>
        <v>14.740010857453953</v>
      </c>
      <c r="AQ72" s="37">
        <f>_xlfn.XLOOKUP(Baukon[[#This Row],[LCA Datensatz]],LeitRess_Materialien[Material_UUID],LeitRess_Materialien[WDP '[m³ weighted water/kg']])*Baukon[[#This Row],[Masse '[kg/m²'] min]]</f>
        <v>10.52857918389568</v>
      </c>
      <c r="AR72" s="37">
        <f>_xlfn.XLOOKUP(Baukon[[#This Row],[LCA Datensatz]],LeitRess_Materialien[Material_UUID],LeitRess_Materialien[WDP '[m³ weighted water/kg']])*Baukon[[#This Row],[Masse '[kg/m²'] max]]</f>
        <v>23.162874204570496</v>
      </c>
      <c r="AS72" s="39">
        <f>Baukon[[#This Row],[GWP '[kg CO2-Äqu./m²'] Referenz]]/'Ausgabe Tabellen'!$C$21+Baukon[[#This Row],[PENRT '[MJ/m²'] Referenz]]/'Ausgabe Tabellen'!$C$22+Baukon[[#This Row],[RMI '[kg Primärrohstoffe/m²'] Referenz]]/'Ausgabe Tabellen'!$C$23+Baukon[[#This Row],[WDP '[m² weighted water/m²'] Referenz]]/'Ausgabe Tabellen'!$C$24</f>
        <v>6.3058618078838877E-3</v>
      </c>
      <c r="AT72" s="39">
        <f>Baukon[[#This Row],[GWP '[kg CO2-Äqu./m²'] min]]/'Ausgabe Tabellen'!$C$21+Baukon[[#This Row],[PENRT '[MJ/m²'] min]]/'Ausgabe Tabellen'!$C$22+Baukon[[#This Row],[RMI '[kg Primärrohstoffe/m²'] min]]/'Ausgabe Tabellen'!$C$23+Baukon[[#This Row],[WDP '[m² weighted water/m²'] min]]/'Ausgabe Tabellen'!$C$24</f>
        <v>4.5041870056313476E-3</v>
      </c>
      <c r="AU72" s="39">
        <f>Baukon[[#This Row],[GWP '[kg CO2-Äqu./m²'] max]]/'Ausgabe Tabellen'!$C$21+Baukon[[#This Row],[PENRT '[MJ/m²'] max]]/'Ausgabe Tabellen'!$C$22+Baukon[[#This Row],[RMI '[kg Primärrohstoffe/m²'] max]]/'Ausgabe Tabellen'!$C$23+Baukon[[#This Row],[WDP '[m² weighted water/m²'] max]]/'Ausgabe Tabellen'!$C$24</f>
        <v>9.9092114123889644E-3</v>
      </c>
    </row>
    <row r="73" spans="1:47" s="24" customFormat="1" ht="15.75" x14ac:dyDescent="0.5">
      <c r="A73" s="36" t="s">
        <v>110</v>
      </c>
      <c r="B73" s="36" t="s">
        <v>326</v>
      </c>
      <c r="C73" s="36">
        <v>2</v>
      </c>
      <c r="D73" s="36" t="s">
        <v>303</v>
      </c>
      <c r="E73" s="36" t="str">
        <f>Baukon[[#This Row],[Variante Nummer]]&amp;". "&amp;Baukon[[#This Row],[Name Baukonstruktion]]&amp;" | " &amp;Baukon[[#This Row],[Variante Name]]</f>
        <v>2. Metalldecke | Referenz XPS</v>
      </c>
      <c r="F73" s="36" t="s">
        <v>338</v>
      </c>
      <c r="G73" s="36" t="s">
        <v>262</v>
      </c>
      <c r="H73" s="36" t="s">
        <v>225</v>
      </c>
      <c r="I73" s="41" t="s">
        <v>498</v>
      </c>
      <c r="J73" s="36" t="str">
        <f>IF(Baukon[[#This Row],[Material ist Dämmstoff?]]="ja",Baukon[[#This Row],[Dicke '[mm'] Referenz]]+_xlfn.XLOOKUP(RIGHT(Baukon[[#Headers],[Dicke '[mm'] min]],3),Dämmstoffvarianten[Variante],Dämmstoffvarianten[Differenz Dämmstoffedicke zu Referenz '[mm']]),Baukon[[#This Row],[Dicke '[mm'] Referenz]])</f>
        <v>12,5</v>
      </c>
      <c r="K73" s="36" t="str">
        <f>IF(Baukon[[#This Row],[Material ist Dämmstoff?]]="ja",Baukon[[#This Row],[Dicke '[mm'] Referenz]]+_xlfn.XLOOKUP(RIGHT(Baukon[[#Headers],[Dicke '[mm'] max]],3),Dämmstoffvarianten[Variante],Dämmstoffvarianten[Differenz Dämmstoffedicke zu Referenz '[mm']]),Baukon[[#This Row],[Dicke '[mm'] Referenz]])</f>
        <v>12,5</v>
      </c>
      <c r="L73" s="43">
        <v>1</v>
      </c>
      <c r="M73" s="41">
        <v>1</v>
      </c>
      <c r="N73" s="103">
        <f>IFERROR(Baukon[[#This Row],[Dicke '[mm'] Referenz]]/1000*Baukon[[#This Row],[Flächenanteil '[%']]],"")</f>
        <v>1.2500000000000001E-2</v>
      </c>
      <c r="O73" s="103">
        <f>IFERROR(Baukon[[#This Row],[Dicke '[mm'] min]]/1000*Baukon[[#This Row],[Flächenanteil '[%']]],"")</f>
        <v>1.2500000000000001E-2</v>
      </c>
      <c r="P73" s="103">
        <f>IFERROR(Baukon[[#This Row],[Dicke '[mm'] max]]/1000*Baukon[[#This Row],[Flächenanteil '[%']]],"")</f>
        <v>1.2500000000000001E-2</v>
      </c>
      <c r="Q73"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14.75</v>
      </c>
      <c r="R73"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14.75</v>
      </c>
      <c r="S73"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14.75</v>
      </c>
      <c r="T73" s="42" t="s">
        <v>226</v>
      </c>
      <c r="U73" s="103" t="str">
        <f>_xlfn.XLOOKUP(Baukon[[#This Row],[Material]],LeitRess_Materialien[Name],LeitRess_Materialien[Material_UUID])</f>
        <v>a9a79b38-dc2c-4b51-a3cc-cf9fa0d299e7</v>
      </c>
      <c r="V73" s="42">
        <f>_xlfn.XLOOKUP(Baukon[[#This Row],[LCA Datensatz]],LeitRess_Materialien[Material_UUID],LeitRess_Materialien[Rohdichte_'[kg/m3']])</f>
        <v>1180</v>
      </c>
      <c r="W73" s="42">
        <f>_xlfn.XLOOKUP(Baukon[[#This Row],[LCA Datensatz]],LeitRess_Materialien[Material_UUID],LeitRess_Materialien[Flächengewicht_'[kg/m2']])</f>
        <v>24.07</v>
      </c>
      <c r="X73" s="104">
        <f>_xlfn.XLOOKUP(Baukon[[#This Row],[LCA Datensatz]],LeitRess_Materialien[Material_UUID],LeitRess_Materialien[Längengewicht_'[kg/m']])</f>
        <v>0</v>
      </c>
      <c r="Y73" s="104">
        <f>_xlfn.XLOOKUP(Baukon[[#This Row],[LCA Datensatz]],LeitRess_Materialien[Material_UUID],LeitRess_Materialien[lambda_'[W/mK']])</f>
        <v>1.2</v>
      </c>
      <c r="Z73" s="103">
        <f>IFERROR(Baukon[[#This Row],[Dicke '[mm'] Referenz]]/Baukon[[#This Row],[lambda_'[W/mK']]],"")</f>
        <v>10.416666666666668</v>
      </c>
      <c r="AA73" s="37">
        <f>_xlfn.XLOOKUP(Baukon[[#This Row],[LCA Datensatz]],LeitRess_Materialien[Material_UUID],LeitRess_Materialien[RMI '[kg Primärrohstoffe / kg']])*Baukon[[#This Row],[Masse '[kg/m²'] Referenz]]</f>
        <v>11.875215319731202</v>
      </c>
      <c r="AB73" s="37">
        <f>_xlfn.XLOOKUP(Baukon[[#This Row],[LCA Datensatz]],LeitRess_Materialien[Material_UUID],LeitRess_Materialien[RMI '[kg Primärrohstoffe / kg']])*Baukon[[#This Row],[Masse '[kg/m²'] min]]</f>
        <v>11.875215319731202</v>
      </c>
      <c r="AC73" s="37">
        <f>_xlfn.XLOOKUP(Baukon[[#This Row],[LCA Datensatz]],LeitRess_Materialien[Material_UUID],LeitRess_Materialien[RMI '[kg Primärrohstoffe / kg']])*Baukon[[#This Row],[Masse '[kg/m²'] max]]</f>
        <v>11.875215319731202</v>
      </c>
      <c r="AD73" s="37">
        <f>_xlfn.XLOOKUP(Baukon[[#This Row],[LCA Datensatz]],LeitRess_Materialien[Material_UUID],LeitRess_Materialien[TMR '[kg Gesamtmaterialaufwand/kg']])*Baukon[[#This Row],[Masse '[kg/m²'] Referenz]]</f>
        <v>12.798521946138338</v>
      </c>
      <c r="AE73" s="37">
        <f>_xlfn.XLOOKUP(Baukon[[#This Row],[LCA Datensatz]],LeitRess_Materialien[Material_UUID],LeitRess_Materialien[TMR '[kg Gesamtmaterialaufwand/kg']])*Baukon[[#This Row],[Masse '[kg/m²'] min]]</f>
        <v>12.798521946138338</v>
      </c>
      <c r="AF73" s="37">
        <f>_xlfn.XLOOKUP(Baukon[[#This Row],[LCA Datensatz]],LeitRess_Materialien[Material_UUID],LeitRess_Materialien[TMR '[kg Gesamtmaterialaufwand/kg']])*Baukon[[#This Row],[Masse '[kg/m²'] max]]</f>
        <v>12.798521946138338</v>
      </c>
      <c r="AG73" s="37">
        <f>_xlfn.XLOOKUP(Baukon[[#This Row],[LCA Datensatz]],LeitRess_Materialien[Material_UUID],LeitRess_Materialien[GWP '[kg CO2-Äqu./kg']])*Baukon[[#This Row],[Masse '[kg/m²'] Referenz]]</f>
        <v>2.7494730811355699</v>
      </c>
      <c r="AH73" s="37">
        <f>_xlfn.XLOOKUP(Baukon[[#This Row],[LCA Datensatz]],LeitRess_Materialien[Material_UUID],LeitRess_Materialien[GWP '[kg CO2-Äqu./kg']])*Baukon[[#This Row],[Masse '[kg/m²'] min]]</f>
        <v>2.7494730811355699</v>
      </c>
      <c r="AI73" s="37">
        <f>_xlfn.XLOOKUP(Baukon[[#This Row],[LCA Datensatz]],LeitRess_Materialien[Material_UUID],LeitRess_Materialien[GWP '[kg CO2-Äqu./kg']])*Baukon[[#This Row],[Masse '[kg/m²'] max]]</f>
        <v>2.7494730811355699</v>
      </c>
      <c r="AJ73" s="37">
        <f>_xlfn.XLOOKUP(Baukon[[#This Row],[LCA Datensatz]],LeitRess_Materialien[Material_UUID],LeitRess_Materialien[PENRT '[MJ/kg']])*Baukon[[#This Row],[Masse '[kg/m²'] Referenz]]</f>
        <v>41.383269420516548</v>
      </c>
      <c r="AK73" s="37">
        <f>_xlfn.XLOOKUP(Baukon[[#This Row],[LCA Datensatz]],LeitRess_Materialien[Material_UUID],LeitRess_Materialien[PENRT '[MJ/kg']])*Baukon[[#This Row],[Masse '[kg/m²'] min]]</f>
        <v>41.383269420516548</v>
      </c>
      <c r="AL73" s="37">
        <f>_xlfn.XLOOKUP(Baukon[[#This Row],[LCA Datensatz]],LeitRess_Materialien[Material_UUID],LeitRess_Materialien[PENRT '[MJ/kg']])*Baukon[[#This Row],[Masse '[kg/m²'] max]]</f>
        <v>41.383269420516548</v>
      </c>
      <c r="AM73" s="37" t="e">
        <f>_xlfn.XLOOKUP(Baukon[[#This Row],[LCA Datensatz]],LeitRess_Materialien[Material_UUID],#REF!)*Baukon[[#This Row],[Masse '[kg/m²'] Referenz]]</f>
        <v>#REF!</v>
      </c>
      <c r="AN73" s="37" t="e">
        <f>_xlfn.XLOOKUP(Baukon[[#This Row],[LCA Datensatz]],LeitRess_Materialien[Material_UUID],#REF!)*Baukon[[#This Row],[Masse '[kg/m²'] min]]</f>
        <v>#REF!</v>
      </c>
      <c r="AO73" s="37" t="e">
        <f>_xlfn.XLOOKUP(Baukon[[#This Row],[LCA Datensatz]],LeitRess_Materialien[Material_UUID],#REF!)*Baukon[[#This Row],[Masse '[kg/m²'] max]]</f>
        <v>#REF!</v>
      </c>
      <c r="AP73" s="37">
        <f>_xlfn.XLOOKUP(Baukon[[#This Row],[LCA Datensatz]],LeitRess_Materialien[Material_UUID],LeitRess_Materialien[WDP '[m³ weighted water/kg']])*Baukon[[#This Row],[Masse '[kg/m²'] Referenz]]</f>
        <v>1.3588455343138353</v>
      </c>
      <c r="AQ73" s="37">
        <f>_xlfn.XLOOKUP(Baukon[[#This Row],[LCA Datensatz]],LeitRess_Materialien[Material_UUID],LeitRess_Materialien[WDP '[m³ weighted water/kg']])*Baukon[[#This Row],[Masse '[kg/m²'] min]]</f>
        <v>1.3588455343138353</v>
      </c>
      <c r="AR73" s="37">
        <f>_xlfn.XLOOKUP(Baukon[[#This Row],[LCA Datensatz]],LeitRess_Materialien[Material_UUID],LeitRess_Materialien[WDP '[m³ weighted water/kg']])*Baukon[[#This Row],[Masse '[kg/m²'] max]]</f>
        <v>1.3588455343138353</v>
      </c>
      <c r="AS73" s="39">
        <f>Baukon[[#This Row],[GWP '[kg CO2-Äqu./m²'] Referenz]]/'Ausgabe Tabellen'!$C$21+Baukon[[#This Row],[PENRT '[MJ/m²'] Referenz]]/'Ausgabe Tabellen'!$C$22+Baukon[[#This Row],[RMI '[kg Primärrohstoffe/m²'] Referenz]]/'Ausgabe Tabellen'!$C$23+Baukon[[#This Row],[WDP '[m² weighted water/m²'] Referenz]]/'Ausgabe Tabellen'!$C$24</f>
        <v>9.9093607355654778E-4</v>
      </c>
      <c r="AT73" s="39">
        <f>Baukon[[#This Row],[GWP '[kg CO2-Äqu./m²'] min]]/'Ausgabe Tabellen'!$C$21+Baukon[[#This Row],[PENRT '[MJ/m²'] min]]/'Ausgabe Tabellen'!$C$22+Baukon[[#This Row],[RMI '[kg Primärrohstoffe/m²'] min]]/'Ausgabe Tabellen'!$C$23+Baukon[[#This Row],[WDP '[m² weighted water/m²'] min]]/'Ausgabe Tabellen'!$C$24</f>
        <v>9.9093607355654778E-4</v>
      </c>
      <c r="AU73" s="39">
        <f>Baukon[[#This Row],[GWP '[kg CO2-Äqu./m²'] max]]/'Ausgabe Tabellen'!$C$21+Baukon[[#This Row],[PENRT '[MJ/m²'] max]]/'Ausgabe Tabellen'!$C$22+Baukon[[#This Row],[RMI '[kg Primärrohstoffe/m²'] max]]/'Ausgabe Tabellen'!$C$23+Baukon[[#This Row],[WDP '[m² weighted water/m²'] max]]/'Ausgabe Tabellen'!$C$24</f>
        <v>9.9093607355654778E-4</v>
      </c>
    </row>
    <row r="74" spans="1:47" s="24" customFormat="1" ht="15.75" x14ac:dyDescent="0.5">
      <c r="A74" s="36" t="s">
        <v>110</v>
      </c>
      <c r="B74" s="36" t="s">
        <v>339</v>
      </c>
      <c r="C74" s="36">
        <v>1</v>
      </c>
      <c r="D74" s="36" t="s">
        <v>309</v>
      </c>
      <c r="E74" s="36" t="str">
        <f>Baukon[[#This Row],[Variante Nummer]]&amp;". "&amp;Baukon[[#This Row],[Name Baukonstruktion]]&amp;" | " &amp;Baukon[[#This Row],[Variante Name]]</f>
        <v>1. Stahlbetondecke | Referenz EPS</v>
      </c>
      <c r="F74" s="36" t="s">
        <v>340</v>
      </c>
      <c r="G74" s="36" t="s">
        <v>281</v>
      </c>
      <c r="H74" s="36" t="s">
        <v>225</v>
      </c>
      <c r="I74" s="41" t="s">
        <v>500</v>
      </c>
      <c r="J74" s="36" t="str">
        <f>IF(Baukon[[#This Row],[Material ist Dämmstoff?]]="ja",Baukon[[#This Row],[Dicke '[mm'] Referenz]]+_xlfn.XLOOKUP(RIGHT(Baukon[[#Headers],[Dicke '[mm'] min]],3),Dämmstoffvarianten[Variante],Dämmstoffvarianten[Differenz Dämmstoffedicke zu Referenz '[mm']]),Baukon[[#This Row],[Dicke '[mm'] Referenz]])</f>
        <v>2,5</v>
      </c>
      <c r="K74" s="36" t="str">
        <f>IF(Baukon[[#This Row],[Material ist Dämmstoff?]]="ja",Baukon[[#This Row],[Dicke '[mm'] Referenz]]+_xlfn.XLOOKUP(RIGHT(Baukon[[#Headers],[Dicke '[mm'] max]],3),Dämmstoffvarianten[Variante],Dämmstoffvarianten[Differenz Dämmstoffedicke zu Referenz '[mm']]),Baukon[[#This Row],[Dicke '[mm'] Referenz]])</f>
        <v>2,5</v>
      </c>
      <c r="L74" s="43">
        <v>1</v>
      </c>
      <c r="M74" s="41"/>
      <c r="N74" s="103">
        <f>IFERROR(Baukon[[#This Row],[Dicke '[mm'] Referenz]]/1000*Baukon[[#This Row],[Flächenanteil '[%']]],"")</f>
        <v>2.5000000000000001E-3</v>
      </c>
      <c r="O74" s="103">
        <f>IFERROR(Baukon[[#This Row],[Dicke '[mm'] min]]/1000*Baukon[[#This Row],[Flächenanteil '[%']]],"")</f>
        <v>2.5000000000000001E-3</v>
      </c>
      <c r="P74" s="103">
        <f>IFERROR(Baukon[[#This Row],[Dicke '[mm'] max]]/1000*Baukon[[#This Row],[Flächenanteil '[%']]],"")</f>
        <v>2.5000000000000001E-3</v>
      </c>
      <c r="Q74"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3</v>
      </c>
      <c r="R74"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3</v>
      </c>
      <c r="S74"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3</v>
      </c>
      <c r="T74" s="42" t="s">
        <v>226</v>
      </c>
      <c r="U74" s="103" t="str">
        <f>_xlfn.XLOOKUP(Baukon[[#This Row],[Material]],LeitRess_Materialien[Name],LeitRess_Materialien[Material_UUID])</f>
        <v>56e977b3-d042-4843-b40d-3a33dbb5a555</v>
      </c>
      <c r="V74" s="42">
        <f>_xlfn.XLOOKUP(Baukon[[#This Row],[LCA Datensatz]],LeitRess_Materialien[Material_UUID],LeitRess_Materialien[Rohdichte_'[kg/m3']])</f>
        <v>1200</v>
      </c>
      <c r="W74" s="42">
        <f>_xlfn.XLOOKUP(Baukon[[#This Row],[LCA Datensatz]],LeitRess_Materialien[Material_UUID],LeitRess_Materialien[Flächengewicht_'[kg/m2']])</f>
        <v>3</v>
      </c>
      <c r="X74" s="104">
        <f>_xlfn.XLOOKUP(Baukon[[#This Row],[LCA Datensatz]],LeitRess_Materialien[Material_UUID],LeitRess_Materialien[Längengewicht_'[kg/m']])</f>
        <v>0</v>
      </c>
      <c r="Y74" s="104">
        <f>_xlfn.XLOOKUP(Baukon[[#This Row],[LCA Datensatz]],LeitRess_Materialien[Material_UUID],LeitRess_Materialien[lambda_'[W/mK']])</f>
        <v>0.2</v>
      </c>
      <c r="Z74" s="103">
        <f>IFERROR(Baukon[[#This Row],[Dicke '[mm'] Referenz]]/Baukon[[#This Row],[lambda_'[W/mK']]],"")</f>
        <v>12.5</v>
      </c>
      <c r="AA74" s="37">
        <f>_xlfn.XLOOKUP(Baukon[[#This Row],[LCA Datensatz]],LeitRess_Materialien[Material_UUID],LeitRess_Materialien[RMI '[kg Primärrohstoffe / kg']])*Baukon[[#This Row],[Masse '[kg/m²'] Referenz]]</f>
        <v>25.892138811192027</v>
      </c>
      <c r="AB74" s="37">
        <f>_xlfn.XLOOKUP(Baukon[[#This Row],[LCA Datensatz]],LeitRess_Materialien[Material_UUID],LeitRess_Materialien[RMI '[kg Primärrohstoffe / kg']])*Baukon[[#This Row],[Masse '[kg/m²'] min]]</f>
        <v>25.892138811192027</v>
      </c>
      <c r="AC74" s="37">
        <f>_xlfn.XLOOKUP(Baukon[[#This Row],[LCA Datensatz]],LeitRess_Materialien[Material_UUID],LeitRess_Materialien[RMI '[kg Primärrohstoffe / kg']])*Baukon[[#This Row],[Masse '[kg/m²'] max]]</f>
        <v>25.892138811192027</v>
      </c>
      <c r="AD74" s="37">
        <f>_xlfn.XLOOKUP(Baukon[[#This Row],[LCA Datensatz]],LeitRess_Materialien[Material_UUID],LeitRess_Materialien[TMR '[kg Gesamtmaterialaufwand/kg']])*Baukon[[#This Row],[Masse '[kg/m²'] Referenz]]</f>
        <v>28.559013021728106</v>
      </c>
      <c r="AE74" s="37">
        <f>_xlfn.XLOOKUP(Baukon[[#This Row],[LCA Datensatz]],LeitRess_Materialien[Material_UUID],LeitRess_Materialien[TMR '[kg Gesamtmaterialaufwand/kg']])*Baukon[[#This Row],[Masse '[kg/m²'] min]]</f>
        <v>28.559013021728106</v>
      </c>
      <c r="AF74" s="37">
        <f>_xlfn.XLOOKUP(Baukon[[#This Row],[LCA Datensatz]],LeitRess_Materialien[Material_UUID],LeitRess_Materialien[TMR '[kg Gesamtmaterialaufwand/kg']])*Baukon[[#This Row],[Masse '[kg/m²'] max]]</f>
        <v>28.559013021728106</v>
      </c>
      <c r="AG74" s="37">
        <f>_xlfn.XLOOKUP(Baukon[[#This Row],[LCA Datensatz]],LeitRess_Materialien[Material_UUID],LeitRess_Materialien[GWP '[kg CO2-Äqu./kg']])*Baukon[[#This Row],[Masse '[kg/m²'] Referenz]]</f>
        <v>4.8667699335648864</v>
      </c>
      <c r="AH74" s="37">
        <f>_xlfn.XLOOKUP(Baukon[[#This Row],[LCA Datensatz]],LeitRess_Materialien[Material_UUID],LeitRess_Materialien[GWP '[kg CO2-Äqu./kg']])*Baukon[[#This Row],[Masse '[kg/m²'] min]]</f>
        <v>4.8667699335648864</v>
      </c>
      <c r="AI74" s="37">
        <f>_xlfn.XLOOKUP(Baukon[[#This Row],[LCA Datensatz]],LeitRess_Materialien[Material_UUID],LeitRess_Materialien[GWP '[kg CO2-Äqu./kg']])*Baukon[[#This Row],[Masse '[kg/m²'] max]]</f>
        <v>4.8667699335648864</v>
      </c>
      <c r="AJ74" s="37">
        <f>_xlfn.XLOOKUP(Baukon[[#This Row],[LCA Datensatz]],LeitRess_Materialien[Material_UUID],LeitRess_Materialien[PENRT '[MJ/kg']])*Baukon[[#This Row],[Masse '[kg/m²'] Referenz]]</f>
        <v>81.921191415921896</v>
      </c>
      <c r="AK74" s="37">
        <f>_xlfn.XLOOKUP(Baukon[[#This Row],[LCA Datensatz]],LeitRess_Materialien[Material_UUID],LeitRess_Materialien[PENRT '[MJ/kg']])*Baukon[[#This Row],[Masse '[kg/m²'] min]]</f>
        <v>81.921191415921896</v>
      </c>
      <c r="AL74" s="37">
        <f>_xlfn.XLOOKUP(Baukon[[#This Row],[LCA Datensatz]],LeitRess_Materialien[Material_UUID],LeitRess_Materialien[PENRT '[MJ/kg']])*Baukon[[#This Row],[Masse '[kg/m²'] max]]</f>
        <v>81.921191415921896</v>
      </c>
      <c r="AM74" s="37" t="e">
        <f>_xlfn.XLOOKUP(Baukon[[#This Row],[LCA Datensatz]],LeitRess_Materialien[Material_UUID],#REF!)*Baukon[[#This Row],[Masse '[kg/m²'] Referenz]]</f>
        <v>#REF!</v>
      </c>
      <c r="AN74" s="37" t="e">
        <f>_xlfn.XLOOKUP(Baukon[[#This Row],[LCA Datensatz]],LeitRess_Materialien[Material_UUID],#REF!)*Baukon[[#This Row],[Masse '[kg/m²'] min]]</f>
        <v>#REF!</v>
      </c>
      <c r="AO74" s="37" t="e">
        <f>_xlfn.XLOOKUP(Baukon[[#This Row],[LCA Datensatz]],LeitRess_Materialien[Material_UUID],#REF!)*Baukon[[#This Row],[Masse '[kg/m²'] max]]</f>
        <v>#REF!</v>
      </c>
      <c r="AP74" s="37">
        <f>_xlfn.XLOOKUP(Baukon[[#This Row],[LCA Datensatz]],LeitRess_Materialien[Material_UUID],LeitRess_Materialien[WDP '[m³ weighted water/kg']])*Baukon[[#This Row],[Masse '[kg/m²'] Referenz]]</f>
        <v>10.618839375204947</v>
      </c>
      <c r="AQ74" s="37">
        <f>_xlfn.XLOOKUP(Baukon[[#This Row],[LCA Datensatz]],LeitRess_Materialien[Material_UUID],LeitRess_Materialien[WDP '[m³ weighted water/kg']])*Baukon[[#This Row],[Masse '[kg/m²'] min]]</f>
        <v>10.618839375204947</v>
      </c>
      <c r="AR74" s="37">
        <f>_xlfn.XLOOKUP(Baukon[[#This Row],[LCA Datensatz]],LeitRess_Materialien[Material_UUID],LeitRess_Materialien[WDP '[m³ weighted water/kg']])*Baukon[[#This Row],[Masse '[kg/m²'] max]]</f>
        <v>10.618839375204947</v>
      </c>
      <c r="AS74" s="39">
        <f>Baukon[[#This Row],[GWP '[kg CO2-Äqu./m²'] Referenz]]/'Ausgabe Tabellen'!$C$21+Baukon[[#This Row],[PENRT '[MJ/m²'] Referenz]]/'Ausgabe Tabellen'!$C$22+Baukon[[#This Row],[RMI '[kg Primärrohstoffe/m²'] Referenz]]/'Ausgabe Tabellen'!$C$23+Baukon[[#This Row],[WDP '[m² weighted water/m²'] Referenz]]/'Ausgabe Tabellen'!$C$24</f>
        <v>2.6762612954026187E-3</v>
      </c>
      <c r="AT74" s="39">
        <f>Baukon[[#This Row],[GWP '[kg CO2-Äqu./m²'] min]]/'Ausgabe Tabellen'!$C$21+Baukon[[#This Row],[PENRT '[MJ/m²'] min]]/'Ausgabe Tabellen'!$C$22+Baukon[[#This Row],[RMI '[kg Primärrohstoffe/m²'] min]]/'Ausgabe Tabellen'!$C$23+Baukon[[#This Row],[WDP '[m² weighted water/m²'] min]]/'Ausgabe Tabellen'!$C$24</f>
        <v>2.6762612954026187E-3</v>
      </c>
      <c r="AU74" s="39">
        <f>Baukon[[#This Row],[GWP '[kg CO2-Äqu./m²'] max]]/'Ausgabe Tabellen'!$C$21+Baukon[[#This Row],[PENRT '[MJ/m²'] max]]/'Ausgabe Tabellen'!$C$22+Baukon[[#This Row],[RMI '[kg Primärrohstoffe/m²'] max]]/'Ausgabe Tabellen'!$C$23+Baukon[[#This Row],[WDP '[m² weighted water/m²'] max]]/'Ausgabe Tabellen'!$C$24</f>
        <v>2.6762612954026187E-3</v>
      </c>
    </row>
    <row r="75" spans="1:47" s="24" customFormat="1" ht="15.75" x14ac:dyDescent="0.5">
      <c r="A75" s="36" t="s">
        <v>110</v>
      </c>
      <c r="B75" s="36" t="s">
        <v>339</v>
      </c>
      <c r="C75" s="36">
        <v>1</v>
      </c>
      <c r="D75" s="36" t="s">
        <v>309</v>
      </c>
      <c r="E75" s="36" t="str">
        <f>Baukon[[#This Row],[Variante Nummer]]&amp;". "&amp;Baukon[[#This Row],[Name Baukonstruktion]]&amp;" | " &amp;Baukon[[#This Row],[Variante Name]]</f>
        <v>1. Stahlbetondecke | Referenz EPS</v>
      </c>
      <c r="F75" s="36" t="s">
        <v>321</v>
      </c>
      <c r="G75" s="36" t="s">
        <v>256</v>
      </c>
      <c r="H75" s="36" t="s">
        <v>225</v>
      </c>
      <c r="I75" s="41">
        <v>55</v>
      </c>
      <c r="J75" s="36">
        <f>IF(Baukon[[#This Row],[Material ist Dämmstoff?]]="ja",Baukon[[#This Row],[Dicke '[mm'] Referenz]]+_xlfn.XLOOKUP(RIGHT(Baukon[[#Headers],[Dicke '[mm'] min]],3),Dämmstoffvarianten[Variante],Dämmstoffvarianten[Differenz Dämmstoffedicke zu Referenz '[mm']]),Baukon[[#This Row],[Dicke '[mm'] Referenz]])</f>
        <v>55</v>
      </c>
      <c r="K75" s="36">
        <f>IF(Baukon[[#This Row],[Material ist Dämmstoff?]]="ja",Baukon[[#This Row],[Dicke '[mm'] Referenz]]+_xlfn.XLOOKUP(RIGHT(Baukon[[#Headers],[Dicke '[mm'] max]],3),Dämmstoffvarianten[Variante],Dämmstoffvarianten[Differenz Dämmstoffedicke zu Referenz '[mm']]),Baukon[[#This Row],[Dicke '[mm'] Referenz]])</f>
        <v>55</v>
      </c>
      <c r="L75" s="43">
        <v>1</v>
      </c>
      <c r="M75" s="41"/>
      <c r="N75" s="103">
        <f>IFERROR(Baukon[[#This Row],[Dicke '[mm'] Referenz]]/1000*Baukon[[#This Row],[Flächenanteil '[%']]],"")</f>
        <v>5.5E-2</v>
      </c>
      <c r="O75" s="103">
        <f>IFERROR(Baukon[[#This Row],[Dicke '[mm'] min]]/1000*Baukon[[#This Row],[Flächenanteil '[%']]],"")</f>
        <v>5.5E-2</v>
      </c>
      <c r="P75" s="103">
        <f>IFERROR(Baukon[[#This Row],[Dicke '[mm'] max]]/1000*Baukon[[#This Row],[Flächenanteil '[%']]],"")</f>
        <v>5.5E-2</v>
      </c>
      <c r="Q75"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132</v>
      </c>
      <c r="R75"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132</v>
      </c>
      <c r="S75"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132</v>
      </c>
      <c r="T75" s="42" t="s">
        <v>226</v>
      </c>
      <c r="U75" s="103" t="str">
        <f>_xlfn.XLOOKUP(Baukon[[#This Row],[Material]],LeitRess_Materialien[Name],LeitRess_Materialien[Material_UUID])</f>
        <v>0973f221-2284-4892-ae3d-1b8c2986b6dd</v>
      </c>
      <c r="V75" s="42">
        <f>_xlfn.XLOOKUP(Baukon[[#This Row],[LCA Datensatz]],LeitRess_Materialien[Material_UUID],LeitRess_Materialien[Rohdichte_'[kg/m3']])</f>
        <v>2400</v>
      </c>
      <c r="W75" s="42">
        <f>_xlfn.XLOOKUP(Baukon[[#This Row],[LCA Datensatz]],LeitRess_Materialien[Material_UUID],LeitRess_Materialien[Flächengewicht_'[kg/m2']])</f>
        <v>0</v>
      </c>
      <c r="X75" s="104">
        <f>_xlfn.XLOOKUP(Baukon[[#This Row],[LCA Datensatz]],LeitRess_Materialien[Material_UUID],LeitRess_Materialien[Längengewicht_'[kg/m']])</f>
        <v>0</v>
      </c>
      <c r="Y75" s="104">
        <f>_xlfn.XLOOKUP(Baukon[[#This Row],[LCA Datensatz]],LeitRess_Materialien[Material_UUID],LeitRess_Materialien[lambda_'[W/mK']])</f>
        <v>1.4</v>
      </c>
      <c r="Z75" s="103">
        <f>IFERROR(Baukon[[#This Row],[Dicke '[mm'] Referenz]]/Baukon[[#This Row],[lambda_'[W/mK']]],"")</f>
        <v>39.285714285714285</v>
      </c>
      <c r="AA75" s="37">
        <f>_xlfn.XLOOKUP(Baukon[[#This Row],[LCA Datensatz]],LeitRess_Materialien[Material_UUID],LeitRess_Materialien[RMI '[kg Primärrohstoffe / kg']])*Baukon[[#This Row],[Masse '[kg/m²'] Referenz]]</f>
        <v>159.27591414227459</v>
      </c>
      <c r="AB75" s="37">
        <f>_xlfn.XLOOKUP(Baukon[[#This Row],[LCA Datensatz]],LeitRess_Materialien[Material_UUID],LeitRess_Materialien[RMI '[kg Primärrohstoffe / kg']])*Baukon[[#This Row],[Masse '[kg/m²'] min]]</f>
        <v>159.27591414227459</v>
      </c>
      <c r="AC75" s="37">
        <f>_xlfn.XLOOKUP(Baukon[[#This Row],[LCA Datensatz]],LeitRess_Materialien[Material_UUID],LeitRess_Materialien[RMI '[kg Primärrohstoffe / kg']])*Baukon[[#This Row],[Masse '[kg/m²'] max]]</f>
        <v>159.27591414227459</v>
      </c>
      <c r="AD75" s="37">
        <f>_xlfn.XLOOKUP(Baukon[[#This Row],[LCA Datensatz]],LeitRess_Materialien[Material_UUID],LeitRess_Materialien[TMR '[kg Gesamtmaterialaufwand/kg']])*Baukon[[#This Row],[Masse '[kg/m²'] Referenz]]</f>
        <v>170.71844328126852</v>
      </c>
      <c r="AE75" s="37">
        <f>_xlfn.XLOOKUP(Baukon[[#This Row],[LCA Datensatz]],LeitRess_Materialien[Material_UUID],LeitRess_Materialien[TMR '[kg Gesamtmaterialaufwand/kg']])*Baukon[[#This Row],[Masse '[kg/m²'] min]]</f>
        <v>170.71844328126852</v>
      </c>
      <c r="AF75" s="37">
        <f>_xlfn.XLOOKUP(Baukon[[#This Row],[LCA Datensatz]],LeitRess_Materialien[Material_UUID],LeitRess_Materialien[TMR '[kg Gesamtmaterialaufwand/kg']])*Baukon[[#This Row],[Masse '[kg/m²'] max]]</f>
        <v>170.71844328126852</v>
      </c>
      <c r="AG75" s="37">
        <f>_xlfn.XLOOKUP(Baukon[[#This Row],[LCA Datensatz]],LeitRess_Materialien[Material_UUID],LeitRess_Materialien[GWP '[kg CO2-Äqu./kg']])*Baukon[[#This Row],[Masse '[kg/m²'] Referenz]]</f>
        <v>30.693834506352999</v>
      </c>
      <c r="AH75" s="37">
        <f>_xlfn.XLOOKUP(Baukon[[#This Row],[LCA Datensatz]],LeitRess_Materialien[Material_UUID],LeitRess_Materialien[GWP '[kg CO2-Äqu./kg']])*Baukon[[#This Row],[Masse '[kg/m²'] min]]</f>
        <v>30.693834506352999</v>
      </c>
      <c r="AI75" s="37">
        <f>_xlfn.XLOOKUP(Baukon[[#This Row],[LCA Datensatz]],LeitRess_Materialien[Material_UUID],LeitRess_Materialien[GWP '[kg CO2-Äqu./kg']])*Baukon[[#This Row],[Masse '[kg/m²'] max]]</f>
        <v>30.693834506352999</v>
      </c>
      <c r="AJ75" s="37">
        <f>_xlfn.XLOOKUP(Baukon[[#This Row],[LCA Datensatz]],LeitRess_Materialien[Material_UUID],LeitRess_Materialien[PENRT '[MJ/kg']])*Baukon[[#This Row],[Masse '[kg/m²'] Referenz]]</f>
        <v>237.10382018166359</v>
      </c>
      <c r="AK75" s="37">
        <f>_xlfn.XLOOKUP(Baukon[[#This Row],[LCA Datensatz]],LeitRess_Materialien[Material_UUID],LeitRess_Materialien[PENRT '[MJ/kg']])*Baukon[[#This Row],[Masse '[kg/m²'] min]]</f>
        <v>237.10382018166359</v>
      </c>
      <c r="AL75" s="37">
        <f>_xlfn.XLOOKUP(Baukon[[#This Row],[LCA Datensatz]],LeitRess_Materialien[Material_UUID],LeitRess_Materialien[PENRT '[MJ/kg']])*Baukon[[#This Row],[Masse '[kg/m²'] max]]</f>
        <v>237.10382018166359</v>
      </c>
      <c r="AM75" s="37" t="e">
        <f>_xlfn.XLOOKUP(Baukon[[#This Row],[LCA Datensatz]],LeitRess_Materialien[Material_UUID],#REF!)*Baukon[[#This Row],[Masse '[kg/m²'] Referenz]]</f>
        <v>#REF!</v>
      </c>
      <c r="AN75" s="37" t="e">
        <f>_xlfn.XLOOKUP(Baukon[[#This Row],[LCA Datensatz]],LeitRess_Materialien[Material_UUID],#REF!)*Baukon[[#This Row],[Masse '[kg/m²'] min]]</f>
        <v>#REF!</v>
      </c>
      <c r="AO75" s="37" t="e">
        <f>_xlfn.XLOOKUP(Baukon[[#This Row],[LCA Datensatz]],LeitRess_Materialien[Material_UUID],#REF!)*Baukon[[#This Row],[Masse '[kg/m²'] max]]</f>
        <v>#REF!</v>
      </c>
      <c r="AP75" s="37">
        <f>_xlfn.XLOOKUP(Baukon[[#This Row],[LCA Datensatz]],LeitRess_Materialien[Material_UUID],LeitRess_Materialien[WDP '[m³ weighted water/kg']])*Baukon[[#This Row],[Masse '[kg/m²'] Referenz]]</f>
        <v>4.4164662941808288</v>
      </c>
      <c r="AQ75" s="37">
        <f>_xlfn.XLOOKUP(Baukon[[#This Row],[LCA Datensatz]],LeitRess_Materialien[Material_UUID],LeitRess_Materialien[WDP '[m³ weighted water/kg']])*Baukon[[#This Row],[Masse '[kg/m²'] min]]</f>
        <v>4.4164662941808288</v>
      </c>
      <c r="AR75" s="37">
        <f>_xlfn.XLOOKUP(Baukon[[#This Row],[LCA Datensatz]],LeitRess_Materialien[Material_UUID],LeitRess_Materialien[WDP '[m³ weighted water/kg']])*Baukon[[#This Row],[Masse '[kg/m²'] max]]</f>
        <v>4.4164662941808288</v>
      </c>
      <c r="AS75" s="39">
        <f>Baukon[[#This Row],[GWP '[kg CO2-Äqu./m²'] Referenz]]/'Ausgabe Tabellen'!$C$21+Baukon[[#This Row],[PENRT '[MJ/m²'] Referenz]]/'Ausgabe Tabellen'!$C$22+Baukon[[#This Row],[RMI '[kg Primärrohstoffe/m²'] Referenz]]/'Ausgabe Tabellen'!$C$23+Baukon[[#This Row],[WDP '[m² weighted water/m²'] Referenz]]/'Ausgabe Tabellen'!$C$24</f>
        <v>9.2372998574454471E-3</v>
      </c>
      <c r="AT75" s="39">
        <f>Baukon[[#This Row],[GWP '[kg CO2-Äqu./m²'] min]]/'Ausgabe Tabellen'!$C$21+Baukon[[#This Row],[PENRT '[MJ/m²'] min]]/'Ausgabe Tabellen'!$C$22+Baukon[[#This Row],[RMI '[kg Primärrohstoffe/m²'] min]]/'Ausgabe Tabellen'!$C$23+Baukon[[#This Row],[WDP '[m² weighted water/m²'] min]]/'Ausgabe Tabellen'!$C$24</f>
        <v>9.2372998574454471E-3</v>
      </c>
      <c r="AU75" s="39">
        <f>Baukon[[#This Row],[GWP '[kg CO2-Äqu./m²'] max]]/'Ausgabe Tabellen'!$C$21+Baukon[[#This Row],[PENRT '[MJ/m²'] max]]/'Ausgabe Tabellen'!$C$22+Baukon[[#This Row],[RMI '[kg Primärrohstoffe/m²'] max]]/'Ausgabe Tabellen'!$C$23+Baukon[[#This Row],[WDP '[m² weighted water/m²'] max]]/'Ausgabe Tabellen'!$C$24</f>
        <v>9.2372998574454471E-3</v>
      </c>
    </row>
    <row r="76" spans="1:47" s="24" customFormat="1" ht="15.75" x14ac:dyDescent="0.5">
      <c r="A76" s="36" t="s">
        <v>110</v>
      </c>
      <c r="B76" s="36" t="s">
        <v>339</v>
      </c>
      <c r="C76" s="36">
        <v>1</v>
      </c>
      <c r="D76" s="36" t="s">
        <v>309</v>
      </c>
      <c r="E76" s="36" t="str">
        <f>Baukon[[#This Row],[Variante Nummer]]&amp;". "&amp;Baukon[[#This Row],[Name Baukonstruktion]]&amp;" | " &amp;Baukon[[#This Row],[Variante Name]]</f>
        <v>1. Stahlbetondecke | Referenz EPS</v>
      </c>
      <c r="F76" s="36" t="s">
        <v>341</v>
      </c>
      <c r="G76" s="36" t="s">
        <v>269</v>
      </c>
      <c r="H76" s="36" t="s">
        <v>228</v>
      </c>
      <c r="I76" s="41">
        <v>80</v>
      </c>
      <c r="J76" s="36">
        <f>IF(Baukon[[#This Row],[Material ist Dämmstoff?]]="ja",Baukon[[#This Row],[Dicke '[mm'] Referenz]]+_xlfn.XLOOKUP(RIGHT(Baukon[[#Headers],[Dicke '[mm'] min]],3),Dämmstoffvarianten[Variante],Dämmstoffvarianten[Differenz Dämmstoffedicke zu Referenz '[mm']]),Baukon[[#This Row],[Dicke '[mm'] Referenz]])</f>
        <v>40</v>
      </c>
      <c r="K76" s="36">
        <f>IF(Baukon[[#This Row],[Material ist Dämmstoff?]]="ja",Baukon[[#This Row],[Dicke '[mm'] Referenz]]+_xlfn.XLOOKUP(RIGHT(Baukon[[#Headers],[Dicke '[mm'] max]],3),Dämmstoffvarianten[Variante],Dämmstoffvarianten[Differenz Dämmstoffedicke zu Referenz '[mm']]),Baukon[[#This Row],[Dicke '[mm'] Referenz]])</f>
        <v>160</v>
      </c>
      <c r="L76" s="43">
        <v>1</v>
      </c>
      <c r="M76" s="41"/>
      <c r="N76" s="103">
        <f>IFERROR(Baukon[[#This Row],[Dicke '[mm'] Referenz]]/1000*Baukon[[#This Row],[Flächenanteil '[%']]],"")</f>
        <v>0.08</v>
      </c>
      <c r="O76" s="103">
        <f>IFERROR(Baukon[[#This Row],[Dicke '[mm'] min]]/1000*Baukon[[#This Row],[Flächenanteil '[%']]],"")</f>
        <v>0.04</v>
      </c>
      <c r="P76" s="103">
        <f>IFERROR(Baukon[[#This Row],[Dicke '[mm'] max]]/1000*Baukon[[#This Row],[Flächenanteil '[%']]],"")</f>
        <v>0.16</v>
      </c>
      <c r="Q76"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2</v>
      </c>
      <c r="R76"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1</v>
      </c>
      <c r="S76"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4</v>
      </c>
      <c r="T76" s="42" t="s">
        <v>226</v>
      </c>
      <c r="U76" s="103" t="str">
        <f>_xlfn.XLOOKUP(Baukon[[#This Row],[Material]],LeitRess_Materialien[Name],LeitRess_Materialien[Material_UUID])</f>
        <v>1be79c83-2ab7-4d30-a44b-8f463376e51e</v>
      </c>
      <c r="V76" s="42">
        <f>_xlfn.XLOOKUP(Baukon[[#This Row],[LCA Datensatz]],LeitRess_Materialien[Material_UUID],LeitRess_Materialien[Rohdichte_'[kg/m3']])</f>
        <v>25</v>
      </c>
      <c r="W76" s="42">
        <f>_xlfn.XLOOKUP(Baukon[[#This Row],[LCA Datensatz]],LeitRess_Materialien[Material_UUID],LeitRess_Materialien[Flächengewicht_'[kg/m2']])</f>
        <v>0</v>
      </c>
      <c r="X76" s="104">
        <f>_xlfn.XLOOKUP(Baukon[[#This Row],[LCA Datensatz]],LeitRess_Materialien[Material_UUID],LeitRess_Materialien[Längengewicht_'[kg/m']])</f>
        <v>0</v>
      </c>
      <c r="Y76" s="104">
        <f>_xlfn.XLOOKUP(Baukon[[#This Row],[LCA Datensatz]],LeitRess_Materialien[Material_UUID],LeitRess_Materialien[lambda_'[W/mK']])</f>
        <v>0.03</v>
      </c>
      <c r="Z76" s="103">
        <f>IFERROR(Baukon[[#This Row],[Dicke '[mm'] Referenz]]/Baukon[[#This Row],[lambda_'[W/mK']]],"")</f>
        <v>2666.666666666667</v>
      </c>
      <c r="AA76" s="37">
        <f>_xlfn.XLOOKUP(Baukon[[#This Row],[LCA Datensatz]],LeitRess_Materialien[Material_UUID],LeitRess_Materialien[RMI '[kg Primärrohstoffe / kg']])*Baukon[[#This Row],[Masse '[kg/m²'] Referenz]]</f>
        <v>4.2006849708512597</v>
      </c>
      <c r="AB76" s="37">
        <f>_xlfn.XLOOKUP(Baukon[[#This Row],[LCA Datensatz]],LeitRess_Materialien[Material_UUID],LeitRess_Materialien[RMI '[kg Primärrohstoffe / kg']])*Baukon[[#This Row],[Masse '[kg/m²'] min]]</f>
        <v>2.1003424854256298</v>
      </c>
      <c r="AC76" s="37">
        <f>_xlfn.XLOOKUP(Baukon[[#This Row],[LCA Datensatz]],LeitRess_Materialien[Material_UUID],LeitRess_Materialien[RMI '[kg Primärrohstoffe / kg']])*Baukon[[#This Row],[Masse '[kg/m²'] max]]</f>
        <v>8.4013699417025194</v>
      </c>
      <c r="AD76" s="37">
        <f>_xlfn.XLOOKUP(Baukon[[#This Row],[LCA Datensatz]],LeitRess_Materialien[Material_UUID],LeitRess_Materialien[TMR '[kg Gesamtmaterialaufwand/kg']])*Baukon[[#This Row],[Masse '[kg/m²'] Referenz]]</f>
        <v>4.9225694466775201</v>
      </c>
      <c r="AE76" s="37">
        <f>_xlfn.XLOOKUP(Baukon[[#This Row],[LCA Datensatz]],LeitRess_Materialien[Material_UUID],LeitRess_Materialien[TMR '[kg Gesamtmaterialaufwand/kg']])*Baukon[[#This Row],[Masse '[kg/m²'] min]]</f>
        <v>2.46128472333876</v>
      </c>
      <c r="AF76" s="37">
        <f>_xlfn.XLOOKUP(Baukon[[#This Row],[LCA Datensatz]],LeitRess_Materialien[Material_UUID],LeitRess_Materialien[TMR '[kg Gesamtmaterialaufwand/kg']])*Baukon[[#This Row],[Masse '[kg/m²'] max]]</f>
        <v>9.8451388933550401</v>
      </c>
      <c r="AG76" s="37">
        <f>_xlfn.XLOOKUP(Baukon[[#This Row],[LCA Datensatz]],LeitRess_Materialien[Material_UUID],LeitRess_Materialien[GWP '[kg CO2-Äqu./kg']])*Baukon[[#This Row],[Masse '[kg/m²'] Referenz]]</f>
        <v>7.3458505619799004</v>
      </c>
      <c r="AH76" s="37">
        <f>_xlfn.XLOOKUP(Baukon[[#This Row],[LCA Datensatz]],LeitRess_Materialien[Material_UUID],LeitRess_Materialien[GWP '[kg CO2-Äqu./kg']])*Baukon[[#This Row],[Masse '[kg/m²'] min]]</f>
        <v>3.6729252809899502</v>
      </c>
      <c r="AI76" s="37">
        <f>_xlfn.XLOOKUP(Baukon[[#This Row],[LCA Datensatz]],LeitRess_Materialien[Material_UUID],LeitRess_Materialien[GWP '[kg CO2-Äqu./kg']])*Baukon[[#This Row],[Masse '[kg/m²'] max]]</f>
        <v>14.691701123959801</v>
      </c>
      <c r="AJ76" s="37">
        <f>_xlfn.XLOOKUP(Baukon[[#This Row],[LCA Datensatz]],LeitRess_Materialien[Material_UUID],LeitRess_Materialien[PENRT '[MJ/kg']])*Baukon[[#This Row],[Masse '[kg/m²'] Referenz]]</f>
        <v>172.43350511395019</v>
      </c>
      <c r="AK76" s="37">
        <f>_xlfn.XLOOKUP(Baukon[[#This Row],[LCA Datensatz]],LeitRess_Materialien[Material_UUID],LeitRess_Materialien[PENRT '[MJ/kg']])*Baukon[[#This Row],[Masse '[kg/m²'] min]]</f>
        <v>86.216752556975095</v>
      </c>
      <c r="AL76" s="37">
        <f>_xlfn.XLOOKUP(Baukon[[#This Row],[LCA Datensatz]],LeitRess_Materialien[Material_UUID],LeitRess_Materialien[PENRT '[MJ/kg']])*Baukon[[#This Row],[Masse '[kg/m²'] max]]</f>
        <v>344.86701022790038</v>
      </c>
      <c r="AM76" s="37" t="e">
        <f>_xlfn.XLOOKUP(Baukon[[#This Row],[LCA Datensatz]],LeitRess_Materialien[Material_UUID],#REF!)*Baukon[[#This Row],[Masse '[kg/m²'] Referenz]]</f>
        <v>#REF!</v>
      </c>
      <c r="AN76" s="37" t="e">
        <f>_xlfn.XLOOKUP(Baukon[[#This Row],[LCA Datensatz]],LeitRess_Materialien[Material_UUID],#REF!)*Baukon[[#This Row],[Masse '[kg/m²'] min]]</f>
        <v>#REF!</v>
      </c>
      <c r="AO76" s="37" t="e">
        <f>_xlfn.XLOOKUP(Baukon[[#This Row],[LCA Datensatz]],LeitRess_Materialien[Material_UUID],#REF!)*Baukon[[#This Row],[Masse '[kg/m²'] max]]</f>
        <v>#REF!</v>
      </c>
      <c r="AP76" s="37">
        <f>_xlfn.XLOOKUP(Baukon[[#This Row],[LCA Datensatz]],LeitRess_Materialien[Material_UUID],LeitRess_Materialien[WDP '[m³ weighted water/kg']])*Baukon[[#This Row],[Masse '[kg/m²'] Referenz]]</f>
        <v>5.2955597894295403</v>
      </c>
      <c r="AQ76" s="37">
        <f>_xlfn.XLOOKUP(Baukon[[#This Row],[LCA Datensatz]],LeitRess_Materialien[Material_UUID],LeitRess_Materialien[WDP '[m³ weighted water/kg']])*Baukon[[#This Row],[Masse '[kg/m²'] min]]</f>
        <v>2.6477798947147702</v>
      </c>
      <c r="AR76" s="37">
        <f>_xlfn.XLOOKUP(Baukon[[#This Row],[LCA Datensatz]],LeitRess_Materialien[Material_UUID],LeitRess_Materialien[WDP '[m³ weighted water/kg']])*Baukon[[#This Row],[Masse '[kg/m²'] max]]</f>
        <v>10.591119578859081</v>
      </c>
      <c r="AS76" s="39">
        <f>Baukon[[#This Row],[GWP '[kg CO2-Äqu./m²'] Referenz]]/'Ausgabe Tabellen'!$C$21+Baukon[[#This Row],[PENRT '[MJ/m²'] Referenz]]/'Ausgabe Tabellen'!$C$22+Baukon[[#This Row],[RMI '[kg Primärrohstoffe/m²'] Referenz]]/'Ausgabe Tabellen'!$C$23+Baukon[[#This Row],[WDP '[m² weighted water/m²'] Referenz]]/'Ausgabe Tabellen'!$C$24</f>
        <v>2.4823142245463622E-3</v>
      </c>
      <c r="AT76" s="39">
        <f>Baukon[[#This Row],[GWP '[kg CO2-Äqu./m²'] min]]/'Ausgabe Tabellen'!$C$21+Baukon[[#This Row],[PENRT '[MJ/m²'] min]]/'Ausgabe Tabellen'!$C$22+Baukon[[#This Row],[RMI '[kg Primärrohstoffe/m²'] min]]/'Ausgabe Tabellen'!$C$23+Baukon[[#This Row],[WDP '[m² weighted water/m²'] min]]/'Ausgabe Tabellen'!$C$24</f>
        <v>1.2411571122731811E-3</v>
      </c>
      <c r="AU76" s="39">
        <f>Baukon[[#This Row],[GWP '[kg CO2-Äqu./m²'] max]]/'Ausgabe Tabellen'!$C$21+Baukon[[#This Row],[PENRT '[MJ/m²'] max]]/'Ausgabe Tabellen'!$C$22+Baukon[[#This Row],[RMI '[kg Primärrohstoffe/m²'] max]]/'Ausgabe Tabellen'!$C$23+Baukon[[#This Row],[WDP '[m² weighted water/m²'] max]]/'Ausgabe Tabellen'!$C$24</f>
        <v>4.9646284490927244E-3</v>
      </c>
    </row>
    <row r="77" spans="1:47" s="24" customFormat="1" ht="15.75" x14ac:dyDescent="0.5">
      <c r="A77" s="36" t="s">
        <v>110</v>
      </c>
      <c r="B77" s="36" t="s">
        <v>339</v>
      </c>
      <c r="C77" s="36">
        <v>1</v>
      </c>
      <c r="D77" s="36" t="s">
        <v>309</v>
      </c>
      <c r="E77" s="36" t="str">
        <f>Baukon[[#This Row],[Variante Nummer]]&amp;". "&amp;Baukon[[#This Row],[Name Baukonstruktion]]&amp;" | " &amp;Baukon[[#This Row],[Variante Name]]</f>
        <v>1. Stahlbetondecke | Referenz EPS</v>
      </c>
      <c r="F77" s="36" t="s">
        <v>319</v>
      </c>
      <c r="G77" s="36" t="s">
        <v>282</v>
      </c>
      <c r="H77" s="36" t="s">
        <v>225</v>
      </c>
      <c r="I77" s="41" t="s">
        <v>368</v>
      </c>
      <c r="J77" s="36" t="str">
        <f>IF(Baukon[[#This Row],[Material ist Dämmstoff?]]="ja",Baukon[[#This Row],[Dicke '[mm'] Referenz]]+_xlfn.XLOOKUP(RIGHT(Baukon[[#Headers],[Dicke '[mm'] min]],3),Dämmstoffvarianten[Variante],Dämmstoffvarianten[Differenz Dämmstoffedicke zu Referenz '[mm']]),Baukon[[#This Row],[Dicke '[mm'] Referenz]])</f>
        <v>0,2</v>
      </c>
      <c r="K77" s="36" t="str">
        <f>IF(Baukon[[#This Row],[Material ist Dämmstoff?]]="ja",Baukon[[#This Row],[Dicke '[mm'] Referenz]]+_xlfn.XLOOKUP(RIGHT(Baukon[[#Headers],[Dicke '[mm'] max]],3),Dämmstoffvarianten[Variante],Dämmstoffvarianten[Differenz Dämmstoffedicke zu Referenz '[mm']]),Baukon[[#This Row],[Dicke '[mm'] Referenz]])</f>
        <v>0,2</v>
      </c>
      <c r="L77" s="43">
        <v>1</v>
      </c>
      <c r="M77" s="41"/>
      <c r="N77" s="103">
        <f>IFERROR(Baukon[[#This Row],[Dicke '[mm'] Referenz]]/1000*Baukon[[#This Row],[Flächenanteil '[%']]],"")</f>
        <v>2.0000000000000001E-4</v>
      </c>
      <c r="O77" s="103">
        <f>IFERROR(Baukon[[#This Row],[Dicke '[mm'] min]]/1000*Baukon[[#This Row],[Flächenanteil '[%']]],"")</f>
        <v>2.0000000000000001E-4</v>
      </c>
      <c r="P77" s="103">
        <f>IFERROR(Baukon[[#This Row],[Dicke '[mm'] max]]/1000*Baukon[[#This Row],[Flächenanteil '[%']]],"")</f>
        <v>2.0000000000000001E-4</v>
      </c>
      <c r="Q77"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0.27800000000000002</v>
      </c>
      <c r="R77"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0.27800000000000002</v>
      </c>
      <c r="S77"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0.27800000000000002</v>
      </c>
      <c r="T77" s="42" t="s">
        <v>226</v>
      </c>
      <c r="U77" s="103" t="str">
        <f>_xlfn.XLOOKUP(Baukon[[#This Row],[Material]],LeitRess_Materialien[Name],LeitRess_Materialien[Material_UUID])</f>
        <v>99792cbc-c5f4-4d2d-bc9e-3790509891a0</v>
      </c>
      <c r="V77" s="42">
        <f>_xlfn.XLOOKUP(Baukon[[#This Row],[LCA Datensatz]],LeitRess_Materialien[Material_UUID],LeitRess_Materialien[Rohdichte_'[kg/m3']])</f>
        <v>1390</v>
      </c>
      <c r="W77" s="42">
        <f>_xlfn.XLOOKUP(Baukon[[#This Row],[LCA Datensatz]],LeitRess_Materialien[Material_UUID],LeitRess_Materialien[Flächengewicht_'[kg/m2']])</f>
        <v>0.2</v>
      </c>
      <c r="X77" s="104">
        <f>_xlfn.XLOOKUP(Baukon[[#This Row],[LCA Datensatz]],LeitRess_Materialien[Material_UUID],LeitRess_Materialien[Längengewicht_'[kg/m']])</f>
        <v>0</v>
      </c>
      <c r="Y77" s="104">
        <f>_xlfn.XLOOKUP(Baukon[[#This Row],[LCA Datensatz]],LeitRess_Materialien[Material_UUID],LeitRess_Materialien[lambda_'[W/mK']])</f>
        <v>0.17</v>
      </c>
      <c r="Z77" s="103">
        <f>IFERROR(Baukon[[#This Row],[Dicke '[mm'] Referenz]]/Baukon[[#This Row],[lambda_'[W/mK']]],"")</f>
        <v>1.1764705882352942</v>
      </c>
      <c r="AA77" s="37">
        <f>_xlfn.XLOOKUP(Baukon[[#This Row],[LCA Datensatz]],LeitRess_Materialien[Material_UUID],LeitRess_Materialien[RMI '[kg Primärrohstoffe / kg']])*Baukon[[#This Row],[Masse '[kg/m²'] Referenz]]</f>
        <v>0.56566490833487659</v>
      </c>
      <c r="AB77" s="37">
        <f>_xlfn.XLOOKUP(Baukon[[#This Row],[LCA Datensatz]],LeitRess_Materialien[Material_UUID],LeitRess_Materialien[RMI '[kg Primärrohstoffe / kg']])*Baukon[[#This Row],[Masse '[kg/m²'] min]]</f>
        <v>0.56566490833487659</v>
      </c>
      <c r="AC77" s="37">
        <f>_xlfn.XLOOKUP(Baukon[[#This Row],[LCA Datensatz]],LeitRess_Materialien[Material_UUID],LeitRess_Materialien[RMI '[kg Primärrohstoffe / kg']])*Baukon[[#This Row],[Masse '[kg/m²'] max]]</f>
        <v>0.56566490833487659</v>
      </c>
      <c r="AD77" s="37">
        <f>_xlfn.XLOOKUP(Baukon[[#This Row],[LCA Datensatz]],LeitRess_Materialien[Material_UUID],LeitRess_Materialien[TMR '[kg Gesamtmaterialaufwand/kg']])*Baukon[[#This Row],[Masse '[kg/m²'] Referenz]]</f>
        <v>0.70605426967153773</v>
      </c>
      <c r="AE77" s="37">
        <f>_xlfn.XLOOKUP(Baukon[[#This Row],[LCA Datensatz]],LeitRess_Materialien[Material_UUID],LeitRess_Materialien[TMR '[kg Gesamtmaterialaufwand/kg']])*Baukon[[#This Row],[Masse '[kg/m²'] min]]</f>
        <v>0.70605426967153773</v>
      </c>
      <c r="AF77" s="37">
        <f>_xlfn.XLOOKUP(Baukon[[#This Row],[LCA Datensatz]],LeitRess_Materialien[Material_UUID],LeitRess_Materialien[TMR '[kg Gesamtmaterialaufwand/kg']])*Baukon[[#This Row],[Masse '[kg/m²'] max]]</f>
        <v>0.70605426967153773</v>
      </c>
      <c r="AG77" s="37">
        <f>_xlfn.XLOOKUP(Baukon[[#This Row],[LCA Datensatz]],LeitRess_Materialien[Material_UUID],LeitRess_Materialien[GWP '[kg CO2-Äqu./kg']])*Baukon[[#This Row],[Masse '[kg/m²'] Referenz]]</f>
        <v>0.55327120946390662</v>
      </c>
      <c r="AH77" s="37">
        <f>_xlfn.XLOOKUP(Baukon[[#This Row],[LCA Datensatz]],LeitRess_Materialien[Material_UUID],LeitRess_Materialien[GWP '[kg CO2-Äqu./kg']])*Baukon[[#This Row],[Masse '[kg/m²'] min]]</f>
        <v>0.55327120946390662</v>
      </c>
      <c r="AI77" s="37">
        <f>_xlfn.XLOOKUP(Baukon[[#This Row],[LCA Datensatz]],LeitRess_Materialien[Material_UUID],LeitRess_Materialien[GWP '[kg CO2-Äqu./kg']])*Baukon[[#This Row],[Masse '[kg/m²'] max]]</f>
        <v>0.55327120946390662</v>
      </c>
      <c r="AJ77" s="37">
        <f>_xlfn.XLOOKUP(Baukon[[#This Row],[LCA Datensatz]],LeitRess_Materialien[Material_UUID],LeitRess_Materialien[PENRT '[MJ/kg']])*Baukon[[#This Row],[Masse '[kg/m²'] Referenz]]</f>
        <v>20.491472968565958</v>
      </c>
      <c r="AK77" s="37">
        <f>_xlfn.XLOOKUP(Baukon[[#This Row],[LCA Datensatz]],LeitRess_Materialien[Material_UUID],LeitRess_Materialien[PENRT '[MJ/kg']])*Baukon[[#This Row],[Masse '[kg/m²'] min]]</f>
        <v>20.491472968565958</v>
      </c>
      <c r="AL77" s="37">
        <f>_xlfn.XLOOKUP(Baukon[[#This Row],[LCA Datensatz]],LeitRess_Materialien[Material_UUID],LeitRess_Materialien[PENRT '[MJ/kg']])*Baukon[[#This Row],[Masse '[kg/m²'] max]]</f>
        <v>20.491472968565958</v>
      </c>
      <c r="AM77" s="37" t="e">
        <f>_xlfn.XLOOKUP(Baukon[[#This Row],[LCA Datensatz]],LeitRess_Materialien[Material_UUID],#REF!)*Baukon[[#This Row],[Masse '[kg/m²'] Referenz]]</f>
        <v>#REF!</v>
      </c>
      <c r="AN77" s="37" t="e">
        <f>_xlfn.XLOOKUP(Baukon[[#This Row],[LCA Datensatz]],LeitRess_Materialien[Material_UUID],#REF!)*Baukon[[#This Row],[Masse '[kg/m²'] min]]</f>
        <v>#REF!</v>
      </c>
      <c r="AO77" s="37" t="e">
        <f>_xlfn.XLOOKUP(Baukon[[#This Row],[LCA Datensatz]],LeitRess_Materialien[Material_UUID],#REF!)*Baukon[[#This Row],[Masse '[kg/m²'] max]]</f>
        <v>#REF!</v>
      </c>
      <c r="AP77" s="37">
        <f>_xlfn.XLOOKUP(Baukon[[#This Row],[LCA Datensatz]],LeitRess_Materialien[Material_UUID],LeitRess_Materialien[WDP '[m³ weighted water/kg']])*Baukon[[#This Row],[Masse '[kg/m²'] Referenz]]</f>
        <v>0.28989199614304856</v>
      </c>
      <c r="AQ77" s="37">
        <f>_xlfn.XLOOKUP(Baukon[[#This Row],[LCA Datensatz]],LeitRess_Materialien[Material_UUID],LeitRess_Materialien[WDP '[m³ weighted water/kg']])*Baukon[[#This Row],[Masse '[kg/m²'] min]]</f>
        <v>0.28989199614304856</v>
      </c>
      <c r="AR77" s="37">
        <f>_xlfn.XLOOKUP(Baukon[[#This Row],[LCA Datensatz]],LeitRess_Materialien[Material_UUID],LeitRess_Materialien[WDP '[m³ weighted water/kg']])*Baukon[[#This Row],[Masse '[kg/m²'] max]]</f>
        <v>0.28989199614304856</v>
      </c>
      <c r="AS77" s="39">
        <f>Baukon[[#This Row],[GWP '[kg CO2-Äqu./m²'] Referenz]]/'Ausgabe Tabellen'!$C$21+Baukon[[#This Row],[PENRT '[MJ/m²'] Referenz]]/'Ausgabe Tabellen'!$C$22+Baukon[[#This Row],[RMI '[kg Primärrohstoffe/m²'] Referenz]]/'Ausgabe Tabellen'!$C$23+Baukon[[#This Row],[WDP '[m² weighted water/m²'] Referenz]]/'Ausgabe Tabellen'!$C$24</f>
        <v>2.3771240070454252E-4</v>
      </c>
      <c r="AT77" s="39">
        <f>Baukon[[#This Row],[GWP '[kg CO2-Äqu./m²'] min]]/'Ausgabe Tabellen'!$C$21+Baukon[[#This Row],[PENRT '[MJ/m²'] min]]/'Ausgabe Tabellen'!$C$22+Baukon[[#This Row],[RMI '[kg Primärrohstoffe/m²'] min]]/'Ausgabe Tabellen'!$C$23+Baukon[[#This Row],[WDP '[m² weighted water/m²'] min]]/'Ausgabe Tabellen'!$C$24</f>
        <v>2.3771240070454252E-4</v>
      </c>
      <c r="AU77" s="39">
        <f>Baukon[[#This Row],[GWP '[kg CO2-Äqu./m²'] max]]/'Ausgabe Tabellen'!$C$21+Baukon[[#This Row],[PENRT '[MJ/m²'] max]]/'Ausgabe Tabellen'!$C$22+Baukon[[#This Row],[RMI '[kg Primärrohstoffe/m²'] max]]/'Ausgabe Tabellen'!$C$23+Baukon[[#This Row],[WDP '[m² weighted water/m²'] max]]/'Ausgabe Tabellen'!$C$24</f>
        <v>2.3771240070454252E-4</v>
      </c>
    </row>
    <row r="78" spans="1:47" s="24" customFormat="1" ht="15.75" x14ac:dyDescent="0.5">
      <c r="A78" s="36" t="s">
        <v>110</v>
      </c>
      <c r="B78" s="36" t="s">
        <v>339</v>
      </c>
      <c r="C78" s="36">
        <v>1</v>
      </c>
      <c r="D78" s="36" t="s">
        <v>309</v>
      </c>
      <c r="E78" s="36" t="str">
        <f>Baukon[[#This Row],[Variante Nummer]]&amp;". "&amp;Baukon[[#This Row],[Name Baukonstruktion]]&amp;" | " &amp;Baukon[[#This Row],[Variante Name]]</f>
        <v>1. Stahlbetondecke | Referenz EPS</v>
      </c>
      <c r="F78" s="36" t="s">
        <v>258</v>
      </c>
      <c r="G78" s="36" t="s">
        <v>258</v>
      </c>
      <c r="H78" s="36" t="s">
        <v>225</v>
      </c>
      <c r="I78" s="41">
        <v>200</v>
      </c>
      <c r="J78" s="36">
        <f>IF(Baukon[[#This Row],[Material ist Dämmstoff?]]="ja",Baukon[[#This Row],[Dicke '[mm'] Referenz]]+_xlfn.XLOOKUP(RIGHT(Baukon[[#Headers],[Dicke '[mm'] min]],3),Dämmstoffvarianten[Variante],Dämmstoffvarianten[Differenz Dämmstoffedicke zu Referenz '[mm']]),Baukon[[#This Row],[Dicke '[mm'] Referenz]])</f>
        <v>200</v>
      </c>
      <c r="K78" s="36">
        <f>IF(Baukon[[#This Row],[Material ist Dämmstoff?]]="ja",Baukon[[#This Row],[Dicke '[mm'] Referenz]]+_xlfn.XLOOKUP(RIGHT(Baukon[[#Headers],[Dicke '[mm'] max]],3),Dämmstoffvarianten[Variante],Dämmstoffvarianten[Differenz Dämmstoffedicke zu Referenz '[mm']]),Baukon[[#This Row],[Dicke '[mm'] Referenz]])</f>
        <v>200</v>
      </c>
      <c r="L78" s="43">
        <f>1-L79</f>
        <v>0.99038461538461542</v>
      </c>
      <c r="M78" s="41"/>
      <c r="N78" s="103">
        <f>IFERROR(Baukon[[#This Row],[Dicke '[mm'] Referenz]]/1000*Baukon[[#This Row],[Flächenanteil '[%']]],"")</f>
        <v>0.19807692307692309</v>
      </c>
      <c r="O78" s="103">
        <f>IFERROR(Baukon[[#This Row],[Dicke '[mm'] min]]/1000*Baukon[[#This Row],[Flächenanteil '[%']]],"")</f>
        <v>0.19807692307692309</v>
      </c>
      <c r="P78" s="103">
        <f>IFERROR(Baukon[[#This Row],[Dicke '[mm'] max]]/1000*Baukon[[#This Row],[Flächenanteil '[%']]],"")</f>
        <v>0.19807692307692309</v>
      </c>
      <c r="Q78"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467.46153846153851</v>
      </c>
      <c r="R78"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467.46153846153851</v>
      </c>
      <c r="S78"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467.46153846153851</v>
      </c>
      <c r="T78" s="42" t="s">
        <v>378</v>
      </c>
      <c r="U78" s="103" t="str">
        <f>_xlfn.XLOOKUP(Baukon[[#This Row],[Material]],LeitRess_Materialien[Name],LeitRess_Materialien[Material_UUID])</f>
        <v>a758fb6a-7fb1-4cdc-b652-c42cf2f7632c</v>
      </c>
      <c r="V78" s="42">
        <f>_xlfn.XLOOKUP(Baukon[[#This Row],[LCA Datensatz]],LeitRess_Materialien[Material_UUID],LeitRess_Materialien[Rohdichte_'[kg/m3']])</f>
        <v>2360</v>
      </c>
      <c r="W78" s="42">
        <f>_xlfn.XLOOKUP(Baukon[[#This Row],[LCA Datensatz]],LeitRess_Materialien[Material_UUID],LeitRess_Materialien[Flächengewicht_'[kg/m2']])</f>
        <v>0</v>
      </c>
      <c r="X78" s="104">
        <f>_xlfn.XLOOKUP(Baukon[[#This Row],[LCA Datensatz]],LeitRess_Materialien[Material_UUID],LeitRess_Materialien[Längengewicht_'[kg/m']])</f>
        <v>0</v>
      </c>
      <c r="Y78" s="104">
        <f>_xlfn.XLOOKUP(Baukon[[#This Row],[LCA Datensatz]],LeitRess_Materialien[Material_UUID],LeitRess_Materialien[lambda_'[W/mK']])</f>
        <v>1.4</v>
      </c>
      <c r="Z78" s="103">
        <f>IFERROR(Baukon[[#This Row],[Dicke '[mm'] Referenz]]/Baukon[[#This Row],[lambda_'[W/mK']]],"")</f>
        <v>142.85714285714286</v>
      </c>
      <c r="AA78" s="37">
        <f>_xlfn.XLOOKUP(Baukon[[#This Row],[LCA Datensatz]],LeitRess_Materialien[Material_UUID],LeitRess_Materialien[RMI '[kg Primärrohstoffe / kg']])*Baukon[[#This Row],[Masse '[kg/m²'] Referenz]]</f>
        <v>485.91717513003096</v>
      </c>
      <c r="AB78" s="37">
        <f>_xlfn.XLOOKUP(Baukon[[#This Row],[LCA Datensatz]],LeitRess_Materialien[Material_UUID],LeitRess_Materialien[RMI '[kg Primärrohstoffe / kg']])*Baukon[[#This Row],[Masse '[kg/m²'] min]]</f>
        <v>485.91717513003096</v>
      </c>
      <c r="AC78" s="37">
        <f>_xlfn.XLOOKUP(Baukon[[#This Row],[LCA Datensatz]],LeitRess_Materialien[Material_UUID],LeitRess_Materialien[RMI '[kg Primärrohstoffe / kg']])*Baukon[[#This Row],[Masse '[kg/m²'] max]]</f>
        <v>485.91717513003096</v>
      </c>
      <c r="AD78" s="37">
        <f>_xlfn.XLOOKUP(Baukon[[#This Row],[LCA Datensatz]],LeitRess_Materialien[Material_UUID],LeitRess_Materialien[TMR '[kg Gesamtmaterialaufwand/kg']])*Baukon[[#This Row],[Masse '[kg/m²'] Referenz]]</f>
        <v>508.29023081064747</v>
      </c>
      <c r="AE78" s="37">
        <f>_xlfn.XLOOKUP(Baukon[[#This Row],[LCA Datensatz]],LeitRess_Materialien[Material_UUID],LeitRess_Materialien[TMR '[kg Gesamtmaterialaufwand/kg']])*Baukon[[#This Row],[Masse '[kg/m²'] min]]</f>
        <v>508.29023081064747</v>
      </c>
      <c r="AF78" s="37">
        <f>_xlfn.XLOOKUP(Baukon[[#This Row],[LCA Datensatz]],LeitRess_Materialien[Material_UUID],LeitRess_Materialien[TMR '[kg Gesamtmaterialaufwand/kg']])*Baukon[[#This Row],[Masse '[kg/m²'] max]]</f>
        <v>508.29023081064747</v>
      </c>
      <c r="AG78" s="37">
        <f>_xlfn.XLOOKUP(Baukon[[#This Row],[LCA Datensatz]],LeitRess_Materialien[Material_UUID],LeitRess_Materialien[GWP '[kg CO2-Äqu./kg']])*Baukon[[#This Row],[Masse '[kg/m²'] Referenz]]</f>
        <v>53.874509641676447</v>
      </c>
      <c r="AH78" s="37">
        <f>_xlfn.XLOOKUP(Baukon[[#This Row],[LCA Datensatz]],LeitRess_Materialien[Material_UUID],LeitRess_Materialien[GWP '[kg CO2-Äqu./kg']])*Baukon[[#This Row],[Masse '[kg/m²'] min]]</f>
        <v>53.874509641676447</v>
      </c>
      <c r="AI78" s="37">
        <f>_xlfn.XLOOKUP(Baukon[[#This Row],[LCA Datensatz]],LeitRess_Materialien[Material_UUID],LeitRess_Materialien[GWP '[kg CO2-Äqu./kg']])*Baukon[[#This Row],[Masse '[kg/m²'] max]]</f>
        <v>53.874509641676447</v>
      </c>
      <c r="AJ78" s="37">
        <f>_xlfn.XLOOKUP(Baukon[[#This Row],[LCA Datensatz]],LeitRess_Materialien[Material_UUID],LeitRess_Materialien[PENRT '[MJ/kg']])*Baukon[[#This Row],[Masse '[kg/m²'] Referenz]]</f>
        <v>403.18256523836709</v>
      </c>
      <c r="AK78" s="37">
        <f>_xlfn.XLOOKUP(Baukon[[#This Row],[LCA Datensatz]],LeitRess_Materialien[Material_UUID],LeitRess_Materialien[PENRT '[MJ/kg']])*Baukon[[#This Row],[Masse '[kg/m²'] min]]</f>
        <v>403.18256523836709</v>
      </c>
      <c r="AL78" s="37">
        <f>_xlfn.XLOOKUP(Baukon[[#This Row],[LCA Datensatz]],LeitRess_Materialien[Material_UUID],LeitRess_Materialien[PENRT '[MJ/kg']])*Baukon[[#This Row],[Masse '[kg/m²'] max]]</f>
        <v>403.18256523836709</v>
      </c>
      <c r="AM78" s="37" t="e">
        <f>_xlfn.XLOOKUP(Baukon[[#This Row],[LCA Datensatz]],LeitRess_Materialien[Material_UUID],#REF!)*Baukon[[#This Row],[Masse '[kg/m²'] Referenz]]</f>
        <v>#REF!</v>
      </c>
      <c r="AN78" s="37" t="e">
        <f>_xlfn.XLOOKUP(Baukon[[#This Row],[LCA Datensatz]],LeitRess_Materialien[Material_UUID],#REF!)*Baukon[[#This Row],[Masse '[kg/m²'] min]]</f>
        <v>#REF!</v>
      </c>
      <c r="AO78" s="37" t="e">
        <f>_xlfn.XLOOKUP(Baukon[[#This Row],[LCA Datensatz]],LeitRess_Materialien[Material_UUID],#REF!)*Baukon[[#This Row],[Masse '[kg/m²'] max]]</f>
        <v>#REF!</v>
      </c>
      <c r="AP78" s="37">
        <f>_xlfn.XLOOKUP(Baukon[[#This Row],[LCA Datensatz]],LeitRess_Materialien[Material_UUID],LeitRess_Materialien[WDP '[m³ weighted water/kg']])*Baukon[[#This Row],[Masse '[kg/m²'] Referenz]]</f>
        <v>18.878309340484076</v>
      </c>
      <c r="AQ78" s="37">
        <f>_xlfn.XLOOKUP(Baukon[[#This Row],[LCA Datensatz]],LeitRess_Materialien[Material_UUID],LeitRess_Materialien[WDP '[m³ weighted water/kg']])*Baukon[[#This Row],[Masse '[kg/m²'] min]]</f>
        <v>18.878309340484076</v>
      </c>
      <c r="AR78" s="37">
        <f>_xlfn.XLOOKUP(Baukon[[#This Row],[LCA Datensatz]],LeitRess_Materialien[Material_UUID],LeitRess_Materialien[WDP '[m³ weighted water/kg']])*Baukon[[#This Row],[Masse '[kg/m²'] max]]</f>
        <v>18.878309340484076</v>
      </c>
      <c r="AS78" s="39">
        <f>Baukon[[#This Row],[GWP '[kg CO2-Äqu./m²'] Referenz]]/'Ausgabe Tabellen'!$C$21+Baukon[[#This Row],[PENRT '[MJ/m²'] Referenz]]/'Ausgabe Tabellen'!$C$22+Baukon[[#This Row],[RMI '[kg Primärrohstoffe/m²'] Referenz]]/'Ausgabe Tabellen'!$C$23+Baukon[[#This Row],[WDP '[m² weighted water/m²'] Referenz]]/'Ausgabe Tabellen'!$C$24</f>
        <v>2.2758948737978974E-2</v>
      </c>
      <c r="AT78" s="39">
        <f>Baukon[[#This Row],[GWP '[kg CO2-Äqu./m²'] min]]/'Ausgabe Tabellen'!$C$21+Baukon[[#This Row],[PENRT '[MJ/m²'] min]]/'Ausgabe Tabellen'!$C$22+Baukon[[#This Row],[RMI '[kg Primärrohstoffe/m²'] min]]/'Ausgabe Tabellen'!$C$23+Baukon[[#This Row],[WDP '[m² weighted water/m²'] min]]/'Ausgabe Tabellen'!$C$24</f>
        <v>2.2758948737978974E-2</v>
      </c>
      <c r="AU78" s="39">
        <f>Baukon[[#This Row],[GWP '[kg CO2-Äqu./m²'] max]]/'Ausgabe Tabellen'!$C$21+Baukon[[#This Row],[PENRT '[MJ/m²'] max]]/'Ausgabe Tabellen'!$C$22+Baukon[[#This Row],[RMI '[kg Primärrohstoffe/m²'] max]]/'Ausgabe Tabellen'!$C$23+Baukon[[#This Row],[WDP '[m² weighted water/m²'] max]]/'Ausgabe Tabellen'!$C$24</f>
        <v>2.2758948737978974E-2</v>
      </c>
    </row>
    <row r="79" spans="1:47" s="24" customFormat="1" ht="15.75" x14ac:dyDescent="0.5">
      <c r="A79" s="36" t="s">
        <v>110</v>
      </c>
      <c r="B79" s="36" t="s">
        <v>339</v>
      </c>
      <c r="C79" s="36">
        <v>1</v>
      </c>
      <c r="D79" s="36" t="s">
        <v>309</v>
      </c>
      <c r="E79" s="36" t="str">
        <f>Baukon[[#This Row],[Variante Nummer]]&amp;". "&amp;Baukon[[#This Row],[Name Baukonstruktion]]&amp;" | " &amp;Baukon[[#This Row],[Variante Name]]</f>
        <v>1. Stahlbetondecke | Referenz EPS</v>
      </c>
      <c r="F79" s="36" t="s">
        <v>322</v>
      </c>
      <c r="G79" s="36" t="s">
        <v>229</v>
      </c>
      <c r="H79" s="36" t="s">
        <v>225</v>
      </c>
      <c r="I79" s="41">
        <v>200</v>
      </c>
      <c r="J79" s="36">
        <f>IF(Baukon[[#This Row],[Material ist Dämmstoff?]]="ja",Baukon[[#This Row],[Dicke '[mm'] Referenz]]+_xlfn.XLOOKUP(RIGHT(Baukon[[#Headers],[Dicke '[mm'] min]],3),Dämmstoffvarianten[Variante],Dämmstoffvarianten[Differenz Dämmstoffedicke zu Referenz '[mm']]),Baukon[[#This Row],[Dicke '[mm'] Referenz]])</f>
        <v>200</v>
      </c>
      <c r="K79" s="36">
        <f>IF(Baukon[[#This Row],[Material ist Dämmstoff?]]="ja",Baukon[[#This Row],[Dicke '[mm'] Referenz]]+_xlfn.XLOOKUP(RIGHT(Baukon[[#Headers],[Dicke '[mm'] max]],3),Dämmstoffvarianten[Variante],Dämmstoffvarianten[Differenz Dämmstoffedicke zu Referenz '[mm']]),Baukon[[#This Row],[Dicke '[mm'] Referenz]])</f>
        <v>200</v>
      </c>
      <c r="L79" s="43">
        <f>75/7800</f>
        <v>9.6153846153846159E-3</v>
      </c>
      <c r="M79" s="41"/>
      <c r="N79" s="103">
        <f>IFERROR(Baukon[[#This Row],[Dicke '[mm'] Referenz]]/1000*Baukon[[#This Row],[Flächenanteil '[%']]],"")</f>
        <v>1.9230769230769232E-3</v>
      </c>
      <c r="O79" s="103">
        <f>IFERROR(Baukon[[#This Row],[Dicke '[mm'] min]]/1000*Baukon[[#This Row],[Flächenanteil '[%']]],"")</f>
        <v>1.9230769230769232E-3</v>
      </c>
      <c r="P79" s="103">
        <f>IFERROR(Baukon[[#This Row],[Dicke '[mm'] max]]/1000*Baukon[[#This Row],[Flächenanteil '[%']]],"")</f>
        <v>1.9230769230769232E-3</v>
      </c>
      <c r="Q79"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15.096153846153847</v>
      </c>
      <c r="R79"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15.096153846153847</v>
      </c>
      <c r="S79"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15.096153846153847</v>
      </c>
      <c r="T79" s="42" t="s">
        <v>457</v>
      </c>
      <c r="U79" s="103" t="str">
        <f>_xlfn.XLOOKUP(Baukon[[#This Row],[Material]],LeitRess_Materialien[Name],LeitRess_Materialien[Material_UUID])</f>
        <v>e9ae96ee-ba8d-420d-9725-7c8abd06e082</v>
      </c>
      <c r="V79" s="42">
        <f>_xlfn.XLOOKUP(Baukon[[#This Row],[LCA Datensatz]],LeitRess_Materialien[Material_UUID],LeitRess_Materialien[Rohdichte_'[kg/m3']])</f>
        <v>7850</v>
      </c>
      <c r="W79" s="42">
        <f>_xlfn.XLOOKUP(Baukon[[#This Row],[LCA Datensatz]],LeitRess_Materialien[Material_UUID],LeitRess_Materialien[Flächengewicht_'[kg/m2']])</f>
        <v>0</v>
      </c>
      <c r="X79" s="104">
        <f>_xlfn.XLOOKUP(Baukon[[#This Row],[LCA Datensatz]],LeitRess_Materialien[Material_UUID],LeitRess_Materialien[Längengewicht_'[kg/m']])</f>
        <v>0</v>
      </c>
      <c r="Y79" s="104">
        <f>_xlfn.XLOOKUP(Baukon[[#This Row],[LCA Datensatz]],LeitRess_Materialien[Material_UUID],LeitRess_Materialien[lambda_'[W/mK']])</f>
        <v>50</v>
      </c>
      <c r="Z79" s="103">
        <f>IFERROR(Baukon[[#This Row],[Dicke '[mm'] Referenz]]/Baukon[[#This Row],[lambda_'[W/mK']]],"")</f>
        <v>4</v>
      </c>
      <c r="AA79" s="37">
        <f>_xlfn.XLOOKUP(Baukon[[#This Row],[LCA Datensatz]],LeitRess_Materialien[Material_UUID],LeitRess_Materialien[RMI '[kg Primärrohstoffe / kg']])*Baukon[[#This Row],[Masse '[kg/m²'] Referenz]]</f>
        <v>78.961565266522499</v>
      </c>
      <c r="AB79" s="37">
        <f>_xlfn.XLOOKUP(Baukon[[#This Row],[LCA Datensatz]],LeitRess_Materialien[Material_UUID],LeitRess_Materialien[RMI '[kg Primärrohstoffe / kg']])*Baukon[[#This Row],[Masse '[kg/m²'] min]]</f>
        <v>78.961565266522499</v>
      </c>
      <c r="AC79" s="37">
        <f>_xlfn.XLOOKUP(Baukon[[#This Row],[LCA Datensatz]],LeitRess_Materialien[Material_UUID],LeitRess_Materialien[RMI '[kg Primärrohstoffe / kg']])*Baukon[[#This Row],[Masse '[kg/m²'] max]]</f>
        <v>78.961565266522499</v>
      </c>
      <c r="AD79" s="37">
        <f>_xlfn.XLOOKUP(Baukon[[#This Row],[LCA Datensatz]],LeitRess_Materialien[Material_UUID],LeitRess_Materialien[TMR '[kg Gesamtmaterialaufwand/kg']])*Baukon[[#This Row],[Masse '[kg/m²'] Referenz]]</f>
        <v>124.62105647031575</v>
      </c>
      <c r="AE79" s="37">
        <f>_xlfn.XLOOKUP(Baukon[[#This Row],[LCA Datensatz]],LeitRess_Materialien[Material_UUID],LeitRess_Materialien[TMR '[kg Gesamtmaterialaufwand/kg']])*Baukon[[#This Row],[Masse '[kg/m²'] min]]</f>
        <v>124.62105647031575</v>
      </c>
      <c r="AF79" s="37">
        <f>_xlfn.XLOOKUP(Baukon[[#This Row],[LCA Datensatz]],LeitRess_Materialien[Material_UUID],LeitRess_Materialien[TMR '[kg Gesamtmaterialaufwand/kg']])*Baukon[[#This Row],[Masse '[kg/m²'] max]]</f>
        <v>124.62105647031575</v>
      </c>
      <c r="AG79" s="37">
        <f>_xlfn.XLOOKUP(Baukon[[#This Row],[LCA Datensatz]],LeitRess_Materialien[Material_UUID],LeitRess_Materialien[GWP '[kg CO2-Äqu./kg']])*Baukon[[#This Row],[Masse '[kg/m²'] Referenz]]</f>
        <v>32.713871393735005</v>
      </c>
      <c r="AH79" s="37">
        <f>_xlfn.XLOOKUP(Baukon[[#This Row],[LCA Datensatz]],LeitRess_Materialien[Material_UUID],LeitRess_Materialien[GWP '[kg CO2-Äqu./kg']])*Baukon[[#This Row],[Masse '[kg/m²'] min]]</f>
        <v>32.713871393735005</v>
      </c>
      <c r="AI79" s="37">
        <f>_xlfn.XLOOKUP(Baukon[[#This Row],[LCA Datensatz]],LeitRess_Materialien[Material_UUID],LeitRess_Materialien[GWP '[kg CO2-Äqu./kg']])*Baukon[[#This Row],[Masse '[kg/m²'] max]]</f>
        <v>32.713871393735005</v>
      </c>
      <c r="AJ79" s="37">
        <f>_xlfn.XLOOKUP(Baukon[[#This Row],[LCA Datensatz]],LeitRess_Materialien[Material_UUID],LeitRess_Materialien[PENRT '[MJ/kg']])*Baukon[[#This Row],[Masse '[kg/m²'] Referenz]]</f>
        <v>461.33060721498344</v>
      </c>
      <c r="AK79" s="37">
        <f>_xlfn.XLOOKUP(Baukon[[#This Row],[LCA Datensatz]],LeitRess_Materialien[Material_UUID],LeitRess_Materialien[PENRT '[MJ/kg']])*Baukon[[#This Row],[Masse '[kg/m²'] min]]</f>
        <v>461.33060721498344</v>
      </c>
      <c r="AL79" s="37">
        <f>_xlfn.XLOOKUP(Baukon[[#This Row],[LCA Datensatz]],LeitRess_Materialien[Material_UUID],LeitRess_Materialien[PENRT '[MJ/kg']])*Baukon[[#This Row],[Masse '[kg/m²'] max]]</f>
        <v>461.33060721498344</v>
      </c>
      <c r="AM79" s="37" t="e">
        <f>_xlfn.XLOOKUP(Baukon[[#This Row],[LCA Datensatz]],LeitRess_Materialien[Material_UUID],#REF!)*Baukon[[#This Row],[Masse '[kg/m²'] Referenz]]</f>
        <v>#REF!</v>
      </c>
      <c r="AN79" s="37" t="e">
        <f>_xlfn.XLOOKUP(Baukon[[#This Row],[LCA Datensatz]],LeitRess_Materialien[Material_UUID],#REF!)*Baukon[[#This Row],[Masse '[kg/m²'] min]]</f>
        <v>#REF!</v>
      </c>
      <c r="AO79" s="37" t="e">
        <f>_xlfn.XLOOKUP(Baukon[[#This Row],[LCA Datensatz]],LeitRess_Materialien[Material_UUID],#REF!)*Baukon[[#This Row],[Masse '[kg/m²'] max]]</f>
        <v>#REF!</v>
      </c>
      <c r="AP79" s="37">
        <f>_xlfn.XLOOKUP(Baukon[[#This Row],[LCA Datensatz]],LeitRess_Materialien[Material_UUID],LeitRess_Materialien[WDP '[m³ weighted water/kg']])*Baukon[[#This Row],[Masse '[kg/m²'] Referenz]]</f>
        <v>13.798007463719571</v>
      </c>
      <c r="AQ79" s="37">
        <f>_xlfn.XLOOKUP(Baukon[[#This Row],[LCA Datensatz]],LeitRess_Materialien[Material_UUID],LeitRess_Materialien[WDP '[m³ weighted water/kg']])*Baukon[[#This Row],[Masse '[kg/m²'] min]]</f>
        <v>13.798007463719571</v>
      </c>
      <c r="AR79" s="37">
        <f>_xlfn.XLOOKUP(Baukon[[#This Row],[LCA Datensatz]],LeitRess_Materialien[Material_UUID],LeitRess_Materialien[WDP '[m³ weighted water/kg']])*Baukon[[#This Row],[Masse '[kg/m²'] max]]</f>
        <v>13.798007463719571</v>
      </c>
      <c r="AS79" s="39">
        <f>Baukon[[#This Row],[GWP '[kg CO2-Äqu./m²'] Referenz]]/'Ausgabe Tabellen'!$C$21+Baukon[[#This Row],[PENRT '[MJ/m²'] Referenz]]/'Ausgabe Tabellen'!$C$22+Baukon[[#This Row],[RMI '[kg Primärrohstoffe/m²'] Referenz]]/'Ausgabe Tabellen'!$C$23+Baukon[[#This Row],[WDP '[m² weighted water/m²'] Referenz]]/'Ausgabe Tabellen'!$C$24</f>
        <v>9.6512480465876706E-3</v>
      </c>
      <c r="AT79" s="39">
        <f>Baukon[[#This Row],[GWP '[kg CO2-Äqu./m²'] min]]/'Ausgabe Tabellen'!$C$21+Baukon[[#This Row],[PENRT '[MJ/m²'] min]]/'Ausgabe Tabellen'!$C$22+Baukon[[#This Row],[RMI '[kg Primärrohstoffe/m²'] min]]/'Ausgabe Tabellen'!$C$23+Baukon[[#This Row],[WDP '[m² weighted water/m²'] min]]/'Ausgabe Tabellen'!$C$24</f>
        <v>9.6512480465876706E-3</v>
      </c>
      <c r="AU79" s="39">
        <f>Baukon[[#This Row],[GWP '[kg CO2-Äqu./m²'] max]]/'Ausgabe Tabellen'!$C$21+Baukon[[#This Row],[PENRT '[MJ/m²'] max]]/'Ausgabe Tabellen'!$C$22+Baukon[[#This Row],[RMI '[kg Primärrohstoffe/m²'] max]]/'Ausgabe Tabellen'!$C$23+Baukon[[#This Row],[WDP '[m² weighted water/m²'] max]]/'Ausgabe Tabellen'!$C$24</f>
        <v>9.6512480465876706E-3</v>
      </c>
    </row>
    <row r="80" spans="1:47" s="24" customFormat="1" ht="15.75" x14ac:dyDescent="0.5">
      <c r="A80" s="36" t="s">
        <v>117</v>
      </c>
      <c r="B80" s="36" t="s">
        <v>342</v>
      </c>
      <c r="C80" s="36">
        <v>2</v>
      </c>
      <c r="D80" s="36" t="s">
        <v>343</v>
      </c>
      <c r="E80" s="36" t="str">
        <f>Baukon[[#This Row],[Variante Nummer]]&amp;". "&amp;Baukon[[#This Row],[Name Baukonstruktion]]&amp;" | " &amp;Baukon[[#This Row],[Variante Name]]</f>
        <v>2. Flachdach - Stahlbeton | Referenz PIR</v>
      </c>
      <c r="F80" s="36" t="s">
        <v>322</v>
      </c>
      <c r="G80" s="36" t="s">
        <v>229</v>
      </c>
      <c r="H80" s="36" t="s">
        <v>225</v>
      </c>
      <c r="I80" s="41">
        <v>200</v>
      </c>
      <c r="J80" s="36">
        <f>IF(Baukon[[#This Row],[Material ist Dämmstoff?]]="ja",Baukon[[#This Row],[Dicke '[mm'] Referenz]]+_xlfn.XLOOKUP(RIGHT(Baukon[[#Headers],[Dicke '[mm'] min]],3),Dämmstoffvarianten[Variante],Dämmstoffvarianten[Differenz Dämmstoffedicke zu Referenz '[mm']]),Baukon[[#This Row],[Dicke '[mm'] Referenz]])</f>
        <v>200</v>
      </c>
      <c r="K80" s="36">
        <f>IF(Baukon[[#This Row],[Material ist Dämmstoff?]]="ja",Baukon[[#This Row],[Dicke '[mm'] Referenz]]+_xlfn.XLOOKUP(RIGHT(Baukon[[#Headers],[Dicke '[mm'] max]],3),Dämmstoffvarianten[Variante],Dämmstoffvarianten[Differenz Dämmstoffedicke zu Referenz '[mm']]),Baukon[[#This Row],[Dicke '[mm'] Referenz]])</f>
        <v>200</v>
      </c>
      <c r="L80" s="43">
        <f>75/7800</f>
        <v>9.6153846153846159E-3</v>
      </c>
      <c r="M80" s="41"/>
      <c r="N80" s="103">
        <f>IFERROR(Baukon[[#This Row],[Dicke '[mm'] Referenz]]/1000*Baukon[[#This Row],[Flächenanteil '[%']]],"")</f>
        <v>1.9230769230769232E-3</v>
      </c>
      <c r="O80" s="103">
        <f>IFERROR(Baukon[[#This Row],[Dicke '[mm'] min]]/1000*Baukon[[#This Row],[Flächenanteil '[%']]],"")</f>
        <v>1.9230769230769232E-3</v>
      </c>
      <c r="P80" s="103">
        <f>IFERROR(Baukon[[#This Row],[Dicke '[mm'] max]]/1000*Baukon[[#This Row],[Flächenanteil '[%']]],"")</f>
        <v>1.9230769230769232E-3</v>
      </c>
      <c r="Q80"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15.096153846153847</v>
      </c>
      <c r="R80"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15.096153846153847</v>
      </c>
      <c r="S80"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15.096153846153847</v>
      </c>
      <c r="T80" s="42" t="s">
        <v>457</v>
      </c>
      <c r="U80" s="103" t="str">
        <f>_xlfn.XLOOKUP(Baukon[[#This Row],[Material]],LeitRess_Materialien[Name],LeitRess_Materialien[Material_UUID])</f>
        <v>e9ae96ee-ba8d-420d-9725-7c8abd06e082</v>
      </c>
      <c r="V80" s="42">
        <f>_xlfn.XLOOKUP(Baukon[[#This Row],[LCA Datensatz]],LeitRess_Materialien[Material_UUID],LeitRess_Materialien[Rohdichte_'[kg/m3']])</f>
        <v>7850</v>
      </c>
      <c r="W80" s="42">
        <f>_xlfn.XLOOKUP(Baukon[[#This Row],[LCA Datensatz]],LeitRess_Materialien[Material_UUID],LeitRess_Materialien[Flächengewicht_'[kg/m2']])</f>
        <v>0</v>
      </c>
      <c r="X80" s="104">
        <f>_xlfn.XLOOKUP(Baukon[[#This Row],[LCA Datensatz]],LeitRess_Materialien[Material_UUID],LeitRess_Materialien[Längengewicht_'[kg/m']])</f>
        <v>0</v>
      </c>
      <c r="Y80" s="104">
        <f>_xlfn.XLOOKUP(Baukon[[#This Row],[LCA Datensatz]],LeitRess_Materialien[Material_UUID],LeitRess_Materialien[lambda_'[W/mK']])</f>
        <v>50</v>
      </c>
      <c r="Z80" s="103">
        <f>IFERROR(Baukon[[#This Row],[Dicke '[mm'] Referenz]]/Baukon[[#This Row],[lambda_'[W/mK']]],"")</f>
        <v>4</v>
      </c>
      <c r="AA80" s="37">
        <f>_xlfn.XLOOKUP(Baukon[[#This Row],[LCA Datensatz]],LeitRess_Materialien[Material_UUID],LeitRess_Materialien[RMI '[kg Primärrohstoffe / kg']])*Baukon[[#This Row],[Masse '[kg/m²'] Referenz]]</f>
        <v>78.961565266522499</v>
      </c>
      <c r="AB80" s="37">
        <f>_xlfn.XLOOKUP(Baukon[[#This Row],[LCA Datensatz]],LeitRess_Materialien[Material_UUID],LeitRess_Materialien[RMI '[kg Primärrohstoffe / kg']])*Baukon[[#This Row],[Masse '[kg/m²'] min]]</f>
        <v>78.961565266522499</v>
      </c>
      <c r="AC80" s="37">
        <f>_xlfn.XLOOKUP(Baukon[[#This Row],[LCA Datensatz]],LeitRess_Materialien[Material_UUID],LeitRess_Materialien[RMI '[kg Primärrohstoffe / kg']])*Baukon[[#This Row],[Masse '[kg/m²'] max]]</f>
        <v>78.961565266522499</v>
      </c>
      <c r="AD80" s="37">
        <f>_xlfn.XLOOKUP(Baukon[[#This Row],[LCA Datensatz]],LeitRess_Materialien[Material_UUID],LeitRess_Materialien[TMR '[kg Gesamtmaterialaufwand/kg']])*Baukon[[#This Row],[Masse '[kg/m²'] Referenz]]</f>
        <v>124.62105647031575</v>
      </c>
      <c r="AE80" s="37">
        <f>_xlfn.XLOOKUP(Baukon[[#This Row],[LCA Datensatz]],LeitRess_Materialien[Material_UUID],LeitRess_Materialien[TMR '[kg Gesamtmaterialaufwand/kg']])*Baukon[[#This Row],[Masse '[kg/m²'] min]]</f>
        <v>124.62105647031575</v>
      </c>
      <c r="AF80" s="37">
        <f>_xlfn.XLOOKUP(Baukon[[#This Row],[LCA Datensatz]],LeitRess_Materialien[Material_UUID],LeitRess_Materialien[TMR '[kg Gesamtmaterialaufwand/kg']])*Baukon[[#This Row],[Masse '[kg/m²'] max]]</f>
        <v>124.62105647031575</v>
      </c>
      <c r="AG80" s="37">
        <f>_xlfn.XLOOKUP(Baukon[[#This Row],[LCA Datensatz]],LeitRess_Materialien[Material_UUID],LeitRess_Materialien[GWP '[kg CO2-Äqu./kg']])*Baukon[[#This Row],[Masse '[kg/m²'] Referenz]]</f>
        <v>32.713871393735005</v>
      </c>
      <c r="AH80" s="37">
        <f>_xlfn.XLOOKUP(Baukon[[#This Row],[LCA Datensatz]],LeitRess_Materialien[Material_UUID],LeitRess_Materialien[GWP '[kg CO2-Äqu./kg']])*Baukon[[#This Row],[Masse '[kg/m²'] min]]</f>
        <v>32.713871393735005</v>
      </c>
      <c r="AI80" s="37">
        <f>_xlfn.XLOOKUP(Baukon[[#This Row],[LCA Datensatz]],LeitRess_Materialien[Material_UUID],LeitRess_Materialien[GWP '[kg CO2-Äqu./kg']])*Baukon[[#This Row],[Masse '[kg/m²'] max]]</f>
        <v>32.713871393735005</v>
      </c>
      <c r="AJ80" s="37">
        <f>_xlfn.XLOOKUP(Baukon[[#This Row],[LCA Datensatz]],LeitRess_Materialien[Material_UUID],LeitRess_Materialien[PENRT '[MJ/kg']])*Baukon[[#This Row],[Masse '[kg/m²'] Referenz]]</f>
        <v>461.33060721498344</v>
      </c>
      <c r="AK80" s="37">
        <f>_xlfn.XLOOKUP(Baukon[[#This Row],[LCA Datensatz]],LeitRess_Materialien[Material_UUID],LeitRess_Materialien[PENRT '[MJ/kg']])*Baukon[[#This Row],[Masse '[kg/m²'] min]]</f>
        <v>461.33060721498344</v>
      </c>
      <c r="AL80" s="37">
        <f>_xlfn.XLOOKUP(Baukon[[#This Row],[LCA Datensatz]],LeitRess_Materialien[Material_UUID],LeitRess_Materialien[PENRT '[MJ/kg']])*Baukon[[#This Row],[Masse '[kg/m²'] max]]</f>
        <v>461.33060721498344</v>
      </c>
      <c r="AM80" s="37" t="e">
        <f>_xlfn.XLOOKUP(Baukon[[#This Row],[LCA Datensatz]],LeitRess_Materialien[Material_UUID],#REF!)*Baukon[[#This Row],[Masse '[kg/m²'] Referenz]]</f>
        <v>#REF!</v>
      </c>
      <c r="AN80" s="37" t="e">
        <f>_xlfn.XLOOKUP(Baukon[[#This Row],[LCA Datensatz]],LeitRess_Materialien[Material_UUID],#REF!)*Baukon[[#This Row],[Masse '[kg/m²'] min]]</f>
        <v>#REF!</v>
      </c>
      <c r="AO80" s="37" t="e">
        <f>_xlfn.XLOOKUP(Baukon[[#This Row],[LCA Datensatz]],LeitRess_Materialien[Material_UUID],#REF!)*Baukon[[#This Row],[Masse '[kg/m²'] max]]</f>
        <v>#REF!</v>
      </c>
      <c r="AP80" s="37">
        <f>_xlfn.XLOOKUP(Baukon[[#This Row],[LCA Datensatz]],LeitRess_Materialien[Material_UUID],LeitRess_Materialien[WDP '[m³ weighted water/kg']])*Baukon[[#This Row],[Masse '[kg/m²'] Referenz]]</f>
        <v>13.798007463719571</v>
      </c>
      <c r="AQ80" s="37">
        <f>_xlfn.XLOOKUP(Baukon[[#This Row],[LCA Datensatz]],LeitRess_Materialien[Material_UUID],LeitRess_Materialien[WDP '[m³ weighted water/kg']])*Baukon[[#This Row],[Masse '[kg/m²'] min]]</f>
        <v>13.798007463719571</v>
      </c>
      <c r="AR80" s="37">
        <f>_xlfn.XLOOKUP(Baukon[[#This Row],[LCA Datensatz]],LeitRess_Materialien[Material_UUID],LeitRess_Materialien[WDP '[m³ weighted water/kg']])*Baukon[[#This Row],[Masse '[kg/m²'] max]]</f>
        <v>13.798007463719571</v>
      </c>
      <c r="AS80" s="39">
        <f>Baukon[[#This Row],[GWP '[kg CO2-Äqu./m²'] Referenz]]/'Ausgabe Tabellen'!$C$21+Baukon[[#This Row],[PENRT '[MJ/m²'] Referenz]]/'Ausgabe Tabellen'!$C$22+Baukon[[#This Row],[RMI '[kg Primärrohstoffe/m²'] Referenz]]/'Ausgabe Tabellen'!$C$23+Baukon[[#This Row],[WDP '[m² weighted water/m²'] Referenz]]/'Ausgabe Tabellen'!$C$24</f>
        <v>9.6512480465876706E-3</v>
      </c>
      <c r="AT80" s="39">
        <f>Baukon[[#This Row],[GWP '[kg CO2-Äqu./m²'] min]]/'Ausgabe Tabellen'!$C$21+Baukon[[#This Row],[PENRT '[MJ/m²'] min]]/'Ausgabe Tabellen'!$C$22+Baukon[[#This Row],[RMI '[kg Primärrohstoffe/m²'] min]]/'Ausgabe Tabellen'!$C$23+Baukon[[#This Row],[WDP '[m² weighted water/m²'] min]]/'Ausgabe Tabellen'!$C$24</f>
        <v>9.6512480465876706E-3</v>
      </c>
      <c r="AU80" s="39">
        <f>Baukon[[#This Row],[GWP '[kg CO2-Äqu./m²'] max]]/'Ausgabe Tabellen'!$C$21+Baukon[[#This Row],[PENRT '[MJ/m²'] max]]/'Ausgabe Tabellen'!$C$22+Baukon[[#This Row],[RMI '[kg Primärrohstoffe/m²'] max]]/'Ausgabe Tabellen'!$C$23+Baukon[[#This Row],[WDP '[m² weighted water/m²'] max]]/'Ausgabe Tabellen'!$C$24</f>
        <v>9.6512480465876706E-3</v>
      </c>
    </row>
    <row r="81" spans="1:16296" s="24" customFormat="1" ht="15.75" x14ac:dyDescent="0.5">
      <c r="A81" s="36" t="s">
        <v>117</v>
      </c>
      <c r="B81" s="36" t="s">
        <v>342</v>
      </c>
      <c r="C81" s="36">
        <v>2</v>
      </c>
      <c r="D81" s="36" t="s">
        <v>343</v>
      </c>
      <c r="E81" s="36" t="str">
        <f>Baukon[[#This Row],[Variante Nummer]]&amp;". "&amp;Baukon[[#This Row],[Name Baukonstruktion]]&amp;" | " &amp;Baukon[[#This Row],[Variante Name]]</f>
        <v>2. Flachdach - Stahlbeton | Referenz PIR</v>
      </c>
      <c r="F81" s="36" t="s">
        <v>307</v>
      </c>
      <c r="G81" s="36" t="s">
        <v>224</v>
      </c>
      <c r="H81" s="36" t="s">
        <v>225</v>
      </c>
      <c r="I81" s="41">
        <v>200</v>
      </c>
      <c r="J81" s="36">
        <f>IF(Baukon[[#This Row],[Material ist Dämmstoff?]]="ja",Baukon[[#This Row],[Dicke '[mm'] Referenz]]+_xlfn.XLOOKUP(RIGHT(Baukon[[#Headers],[Dicke '[mm'] min]],3),Dämmstoffvarianten[Variante],Dämmstoffvarianten[Differenz Dämmstoffedicke zu Referenz '[mm']]),Baukon[[#This Row],[Dicke '[mm'] Referenz]])</f>
        <v>200</v>
      </c>
      <c r="K81" s="36">
        <f>IF(Baukon[[#This Row],[Material ist Dämmstoff?]]="ja",Baukon[[#This Row],[Dicke '[mm'] Referenz]]+_xlfn.XLOOKUP(RIGHT(Baukon[[#Headers],[Dicke '[mm'] max]],3),Dämmstoffvarianten[Variante],Dämmstoffvarianten[Differenz Dämmstoffedicke zu Referenz '[mm']]),Baukon[[#This Row],[Dicke '[mm'] Referenz]])</f>
        <v>200</v>
      </c>
      <c r="L81" s="43">
        <f>1-L80</f>
        <v>0.99038461538461542</v>
      </c>
      <c r="M81" s="41"/>
      <c r="N81" s="103">
        <f>IFERROR(Baukon[[#This Row],[Dicke '[mm'] Referenz]]/1000*Baukon[[#This Row],[Flächenanteil '[%']]],"")</f>
        <v>0.19807692307692309</v>
      </c>
      <c r="O81" s="103">
        <f>IFERROR(Baukon[[#This Row],[Dicke '[mm'] min]]/1000*Baukon[[#This Row],[Flächenanteil '[%']]],"")</f>
        <v>0.19807692307692309</v>
      </c>
      <c r="P81" s="103">
        <f>IFERROR(Baukon[[#This Row],[Dicke '[mm'] max]]/1000*Baukon[[#This Row],[Flächenanteil '[%']]],"")</f>
        <v>0.19807692307692309</v>
      </c>
      <c r="Q81"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467.46153846153851</v>
      </c>
      <c r="R81"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467.46153846153851</v>
      </c>
      <c r="S81"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467.46153846153851</v>
      </c>
      <c r="T81" s="42"/>
      <c r="U81" s="103" t="str">
        <f>_xlfn.XLOOKUP(Baukon[[#This Row],[Material]],LeitRess_Materialien[Name],LeitRess_Materialien[Material_UUID])</f>
        <v>9702d9ab-2af2-4fdc-9d99-225583a9ffb7</v>
      </c>
      <c r="V81" s="42">
        <f>_xlfn.XLOOKUP(Baukon[[#This Row],[LCA Datensatz]],LeitRess_Materialien[Material_UUID],LeitRess_Materialien[Rohdichte_'[kg/m3']])</f>
        <v>2360</v>
      </c>
      <c r="W81" s="42">
        <f>_xlfn.XLOOKUP(Baukon[[#This Row],[LCA Datensatz]],LeitRess_Materialien[Material_UUID],LeitRess_Materialien[Flächengewicht_'[kg/m2']])</f>
        <v>0</v>
      </c>
      <c r="X81" s="104">
        <f>_xlfn.XLOOKUP(Baukon[[#This Row],[LCA Datensatz]],LeitRess_Materialien[Material_UUID],LeitRess_Materialien[Längengewicht_'[kg/m']])</f>
        <v>0</v>
      </c>
      <c r="Y81" s="104">
        <f>_xlfn.XLOOKUP(Baukon[[#This Row],[LCA Datensatz]],LeitRess_Materialien[Material_UUID],LeitRess_Materialien[lambda_'[W/mK']])</f>
        <v>1.4</v>
      </c>
      <c r="Z81" s="103">
        <f>IFERROR(Baukon[[#This Row],[Dicke '[mm'] Referenz]]/Baukon[[#This Row],[lambda_'[W/mK']]],"")</f>
        <v>142.85714285714286</v>
      </c>
      <c r="AA81" s="37">
        <f>_xlfn.XLOOKUP(Baukon[[#This Row],[LCA Datensatz]],LeitRess_Materialien[Material_UUID],LeitRess_Materialien[RMI '[kg Primärrohstoffe / kg']])*Baukon[[#This Row],[Masse '[kg/m²'] Referenz]]</f>
        <v>466.56903407462204</v>
      </c>
      <c r="AB81" s="37">
        <f>_xlfn.XLOOKUP(Baukon[[#This Row],[LCA Datensatz]],LeitRess_Materialien[Material_UUID],LeitRess_Materialien[RMI '[kg Primärrohstoffe / kg']])*Baukon[[#This Row],[Masse '[kg/m²'] min]]</f>
        <v>466.56903407462204</v>
      </c>
      <c r="AC81" s="37">
        <f>_xlfn.XLOOKUP(Baukon[[#This Row],[LCA Datensatz]],LeitRess_Materialien[Material_UUID],LeitRess_Materialien[RMI '[kg Primärrohstoffe / kg']])*Baukon[[#This Row],[Masse '[kg/m²'] max]]</f>
        <v>466.56903407462204</v>
      </c>
      <c r="AD81" s="37">
        <f>_xlfn.XLOOKUP(Baukon[[#This Row],[LCA Datensatz]],LeitRess_Materialien[Material_UUID],LeitRess_Materialien[TMR '[kg Gesamtmaterialaufwand/kg']])*Baukon[[#This Row],[Masse '[kg/m²'] Referenz]]</f>
        <v>483.77214609327149</v>
      </c>
      <c r="AE81" s="37">
        <f>_xlfn.XLOOKUP(Baukon[[#This Row],[LCA Datensatz]],LeitRess_Materialien[Material_UUID],LeitRess_Materialien[TMR '[kg Gesamtmaterialaufwand/kg']])*Baukon[[#This Row],[Masse '[kg/m²'] min]]</f>
        <v>483.77214609327149</v>
      </c>
      <c r="AF81" s="37">
        <f>_xlfn.XLOOKUP(Baukon[[#This Row],[LCA Datensatz]],LeitRess_Materialien[Material_UUID],LeitRess_Materialien[TMR '[kg Gesamtmaterialaufwand/kg']])*Baukon[[#This Row],[Masse '[kg/m²'] max]]</f>
        <v>483.77214609327149</v>
      </c>
      <c r="AG81" s="37">
        <f>_xlfn.XLOOKUP(Baukon[[#This Row],[LCA Datensatz]],LeitRess_Materialien[Material_UUID],LeitRess_Materialien[GWP '[kg CO2-Äqu./kg']])*Baukon[[#This Row],[Masse '[kg/m²'] Referenz]]</f>
        <v>39.493529271958522</v>
      </c>
      <c r="AH81" s="37">
        <f>_xlfn.XLOOKUP(Baukon[[#This Row],[LCA Datensatz]],LeitRess_Materialien[Material_UUID],LeitRess_Materialien[GWP '[kg CO2-Äqu./kg']])*Baukon[[#This Row],[Masse '[kg/m²'] min]]</f>
        <v>39.493529271958522</v>
      </c>
      <c r="AI81" s="37">
        <f>_xlfn.XLOOKUP(Baukon[[#This Row],[LCA Datensatz]],LeitRess_Materialien[Material_UUID],LeitRess_Materialien[GWP '[kg CO2-Äqu./kg']])*Baukon[[#This Row],[Masse '[kg/m²'] max]]</f>
        <v>39.493529271958522</v>
      </c>
      <c r="AJ81" s="37">
        <f>_xlfn.XLOOKUP(Baukon[[#This Row],[LCA Datensatz]],LeitRess_Materialien[Material_UUID],LeitRess_Materialien[PENRT '[MJ/kg']])*Baukon[[#This Row],[Masse '[kg/m²'] Referenz]]</f>
        <v>309.39589658756137</v>
      </c>
      <c r="AK81" s="37">
        <f>_xlfn.XLOOKUP(Baukon[[#This Row],[LCA Datensatz]],LeitRess_Materialien[Material_UUID],LeitRess_Materialien[PENRT '[MJ/kg']])*Baukon[[#This Row],[Masse '[kg/m²'] min]]</f>
        <v>309.39589658756137</v>
      </c>
      <c r="AL81" s="37">
        <f>_xlfn.XLOOKUP(Baukon[[#This Row],[LCA Datensatz]],LeitRess_Materialien[Material_UUID],LeitRess_Materialien[PENRT '[MJ/kg']])*Baukon[[#This Row],[Masse '[kg/m²'] max]]</f>
        <v>309.39589658756137</v>
      </c>
      <c r="AM81" s="37" t="e">
        <f>_xlfn.XLOOKUP(Baukon[[#This Row],[LCA Datensatz]],LeitRess_Materialien[Material_UUID],#REF!)*Baukon[[#This Row],[Masse '[kg/m²'] Referenz]]</f>
        <v>#REF!</v>
      </c>
      <c r="AN81" s="37" t="e">
        <f>_xlfn.XLOOKUP(Baukon[[#This Row],[LCA Datensatz]],LeitRess_Materialien[Material_UUID],#REF!)*Baukon[[#This Row],[Masse '[kg/m²'] min]]</f>
        <v>#REF!</v>
      </c>
      <c r="AO81" s="37" t="e">
        <f>_xlfn.XLOOKUP(Baukon[[#This Row],[LCA Datensatz]],LeitRess_Materialien[Material_UUID],#REF!)*Baukon[[#This Row],[Masse '[kg/m²'] max]]</f>
        <v>#REF!</v>
      </c>
      <c r="AP81" s="37">
        <f>_xlfn.XLOOKUP(Baukon[[#This Row],[LCA Datensatz]],LeitRess_Materialien[Material_UUID],LeitRess_Materialien[WDP '[m³ weighted water/kg']])*Baukon[[#This Row],[Masse '[kg/m²'] Referenz]]</f>
        <v>19.573895142447551</v>
      </c>
      <c r="AQ81" s="37">
        <f>_xlfn.XLOOKUP(Baukon[[#This Row],[LCA Datensatz]],LeitRess_Materialien[Material_UUID],LeitRess_Materialien[WDP '[m³ weighted water/kg']])*Baukon[[#This Row],[Masse '[kg/m²'] min]]</f>
        <v>19.573895142447551</v>
      </c>
      <c r="AR81" s="37">
        <f>_xlfn.XLOOKUP(Baukon[[#This Row],[LCA Datensatz]],LeitRess_Materialien[Material_UUID],LeitRess_Materialien[WDP '[m³ weighted water/kg']])*Baukon[[#This Row],[Masse '[kg/m²'] max]]</f>
        <v>19.573895142447551</v>
      </c>
      <c r="AS81" s="39">
        <f>Baukon[[#This Row],[GWP '[kg CO2-Äqu./m²'] Referenz]]/'Ausgabe Tabellen'!$C$21+Baukon[[#This Row],[PENRT '[MJ/m²'] Referenz]]/'Ausgabe Tabellen'!$C$22+Baukon[[#This Row],[RMI '[kg Primärrohstoffe/m²'] Referenz]]/'Ausgabe Tabellen'!$C$23+Baukon[[#This Row],[WDP '[m² weighted water/m²'] Referenz]]/'Ausgabe Tabellen'!$C$24</f>
        <v>2.0313630481324459E-2</v>
      </c>
      <c r="AT81" s="39">
        <f>Baukon[[#This Row],[GWP '[kg CO2-Äqu./m²'] min]]/'Ausgabe Tabellen'!$C$21+Baukon[[#This Row],[PENRT '[MJ/m²'] min]]/'Ausgabe Tabellen'!$C$22+Baukon[[#This Row],[RMI '[kg Primärrohstoffe/m²'] min]]/'Ausgabe Tabellen'!$C$23+Baukon[[#This Row],[WDP '[m² weighted water/m²'] min]]/'Ausgabe Tabellen'!$C$24</f>
        <v>2.0313630481324459E-2</v>
      </c>
      <c r="AU81" s="39">
        <f>Baukon[[#This Row],[GWP '[kg CO2-Äqu./m²'] max]]/'Ausgabe Tabellen'!$C$21+Baukon[[#This Row],[PENRT '[MJ/m²'] max]]/'Ausgabe Tabellen'!$C$22+Baukon[[#This Row],[RMI '[kg Primärrohstoffe/m²'] max]]/'Ausgabe Tabellen'!$C$23+Baukon[[#This Row],[WDP '[m² weighted water/m²'] max]]/'Ausgabe Tabellen'!$C$24</f>
        <v>2.0313630481324459E-2</v>
      </c>
    </row>
    <row r="82" spans="1:16296" s="24" customFormat="1" ht="15.75" x14ac:dyDescent="0.5">
      <c r="A82" s="36" t="s">
        <v>117</v>
      </c>
      <c r="B82" s="36" t="s">
        <v>342</v>
      </c>
      <c r="C82" s="36">
        <v>2</v>
      </c>
      <c r="D82" s="36" t="s">
        <v>343</v>
      </c>
      <c r="E82" s="36" t="str">
        <f>Baukon[[#This Row],[Variante Nummer]]&amp;". "&amp;Baukon[[#This Row],[Name Baukonstruktion]]&amp;" | " &amp;Baukon[[#This Row],[Variante Name]]</f>
        <v>2. Flachdach - Stahlbeton | Referenz PIR</v>
      </c>
      <c r="F82" s="36" t="s">
        <v>319</v>
      </c>
      <c r="G82" s="36" t="s">
        <v>282</v>
      </c>
      <c r="H82" s="36" t="s">
        <v>225</v>
      </c>
      <c r="I82" s="41" t="s">
        <v>368</v>
      </c>
      <c r="J82" s="36" t="str">
        <f>IF(Baukon[[#This Row],[Material ist Dämmstoff?]]="ja",Baukon[[#This Row],[Dicke '[mm'] Referenz]]+_xlfn.XLOOKUP(RIGHT(Baukon[[#Headers],[Dicke '[mm'] min]],3),Dämmstoffvarianten[Variante],Dämmstoffvarianten[Differenz Dämmstoffedicke zu Referenz '[mm']]),Baukon[[#This Row],[Dicke '[mm'] Referenz]])</f>
        <v>0,2</v>
      </c>
      <c r="K82" s="36" t="str">
        <f>IF(Baukon[[#This Row],[Material ist Dämmstoff?]]="ja",Baukon[[#This Row],[Dicke '[mm'] Referenz]]+_xlfn.XLOOKUP(RIGHT(Baukon[[#Headers],[Dicke '[mm'] max]],3),Dämmstoffvarianten[Variante],Dämmstoffvarianten[Differenz Dämmstoffedicke zu Referenz '[mm']]),Baukon[[#This Row],[Dicke '[mm'] Referenz]])</f>
        <v>0,2</v>
      </c>
      <c r="L82" s="43">
        <v>1</v>
      </c>
      <c r="M82" s="41"/>
      <c r="N82" s="103">
        <f>IFERROR(Baukon[[#This Row],[Dicke '[mm'] Referenz]]/1000*Baukon[[#This Row],[Flächenanteil '[%']]],"")</f>
        <v>2.0000000000000001E-4</v>
      </c>
      <c r="O82" s="103">
        <f>IFERROR(Baukon[[#This Row],[Dicke '[mm'] min]]/1000*Baukon[[#This Row],[Flächenanteil '[%']]],"")</f>
        <v>2.0000000000000001E-4</v>
      </c>
      <c r="P82" s="103">
        <f>IFERROR(Baukon[[#This Row],[Dicke '[mm'] max]]/1000*Baukon[[#This Row],[Flächenanteil '[%']]],"")</f>
        <v>2.0000000000000001E-4</v>
      </c>
      <c r="Q82"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0.27800000000000002</v>
      </c>
      <c r="R82"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0.27800000000000002</v>
      </c>
      <c r="S82"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0.27800000000000002</v>
      </c>
      <c r="T82" s="42" t="s">
        <v>226</v>
      </c>
      <c r="U82" s="103" t="str">
        <f>_xlfn.XLOOKUP(Baukon[[#This Row],[Material]],LeitRess_Materialien[Name],LeitRess_Materialien[Material_UUID])</f>
        <v>99792cbc-c5f4-4d2d-bc9e-3790509891a0</v>
      </c>
      <c r="V82" s="42">
        <f>_xlfn.XLOOKUP(Baukon[[#This Row],[LCA Datensatz]],LeitRess_Materialien[Material_UUID],LeitRess_Materialien[Rohdichte_'[kg/m3']])</f>
        <v>1390</v>
      </c>
      <c r="W82" s="42">
        <f>_xlfn.XLOOKUP(Baukon[[#This Row],[LCA Datensatz]],LeitRess_Materialien[Material_UUID],LeitRess_Materialien[Flächengewicht_'[kg/m2']])</f>
        <v>0.2</v>
      </c>
      <c r="X82" s="104">
        <f>_xlfn.XLOOKUP(Baukon[[#This Row],[LCA Datensatz]],LeitRess_Materialien[Material_UUID],LeitRess_Materialien[Längengewicht_'[kg/m']])</f>
        <v>0</v>
      </c>
      <c r="Y82" s="104">
        <f>_xlfn.XLOOKUP(Baukon[[#This Row],[LCA Datensatz]],LeitRess_Materialien[Material_UUID],LeitRess_Materialien[lambda_'[W/mK']])</f>
        <v>0.17</v>
      </c>
      <c r="Z82" s="103">
        <f>IFERROR(Baukon[[#This Row],[Dicke '[mm'] Referenz]]/Baukon[[#This Row],[lambda_'[W/mK']]],"")</f>
        <v>1.1764705882352942</v>
      </c>
      <c r="AA82" s="37">
        <f>_xlfn.XLOOKUP(Baukon[[#This Row],[LCA Datensatz]],LeitRess_Materialien[Material_UUID],LeitRess_Materialien[RMI '[kg Primärrohstoffe / kg']])*Baukon[[#This Row],[Masse '[kg/m²'] Referenz]]</f>
        <v>0.56566490833487659</v>
      </c>
      <c r="AB82" s="37">
        <f>_xlfn.XLOOKUP(Baukon[[#This Row],[LCA Datensatz]],LeitRess_Materialien[Material_UUID],LeitRess_Materialien[RMI '[kg Primärrohstoffe / kg']])*Baukon[[#This Row],[Masse '[kg/m²'] min]]</f>
        <v>0.56566490833487659</v>
      </c>
      <c r="AC82" s="37">
        <f>_xlfn.XLOOKUP(Baukon[[#This Row],[LCA Datensatz]],LeitRess_Materialien[Material_UUID],LeitRess_Materialien[RMI '[kg Primärrohstoffe / kg']])*Baukon[[#This Row],[Masse '[kg/m²'] max]]</f>
        <v>0.56566490833487659</v>
      </c>
      <c r="AD82" s="37">
        <f>_xlfn.XLOOKUP(Baukon[[#This Row],[LCA Datensatz]],LeitRess_Materialien[Material_UUID],LeitRess_Materialien[TMR '[kg Gesamtmaterialaufwand/kg']])*Baukon[[#This Row],[Masse '[kg/m²'] Referenz]]</f>
        <v>0.70605426967153773</v>
      </c>
      <c r="AE82" s="37">
        <f>_xlfn.XLOOKUP(Baukon[[#This Row],[LCA Datensatz]],LeitRess_Materialien[Material_UUID],LeitRess_Materialien[TMR '[kg Gesamtmaterialaufwand/kg']])*Baukon[[#This Row],[Masse '[kg/m²'] min]]</f>
        <v>0.70605426967153773</v>
      </c>
      <c r="AF82" s="37">
        <f>_xlfn.XLOOKUP(Baukon[[#This Row],[LCA Datensatz]],LeitRess_Materialien[Material_UUID],LeitRess_Materialien[TMR '[kg Gesamtmaterialaufwand/kg']])*Baukon[[#This Row],[Masse '[kg/m²'] max]]</f>
        <v>0.70605426967153773</v>
      </c>
      <c r="AG82" s="37">
        <f>_xlfn.XLOOKUP(Baukon[[#This Row],[LCA Datensatz]],LeitRess_Materialien[Material_UUID],LeitRess_Materialien[GWP '[kg CO2-Äqu./kg']])*Baukon[[#This Row],[Masse '[kg/m²'] Referenz]]</f>
        <v>0.55327120946390662</v>
      </c>
      <c r="AH82" s="37">
        <f>_xlfn.XLOOKUP(Baukon[[#This Row],[LCA Datensatz]],LeitRess_Materialien[Material_UUID],LeitRess_Materialien[GWP '[kg CO2-Äqu./kg']])*Baukon[[#This Row],[Masse '[kg/m²'] min]]</f>
        <v>0.55327120946390662</v>
      </c>
      <c r="AI82" s="37">
        <f>_xlfn.XLOOKUP(Baukon[[#This Row],[LCA Datensatz]],LeitRess_Materialien[Material_UUID],LeitRess_Materialien[GWP '[kg CO2-Äqu./kg']])*Baukon[[#This Row],[Masse '[kg/m²'] max]]</f>
        <v>0.55327120946390662</v>
      </c>
      <c r="AJ82" s="37">
        <f>_xlfn.XLOOKUP(Baukon[[#This Row],[LCA Datensatz]],LeitRess_Materialien[Material_UUID],LeitRess_Materialien[PENRT '[MJ/kg']])*Baukon[[#This Row],[Masse '[kg/m²'] Referenz]]</f>
        <v>20.491472968565958</v>
      </c>
      <c r="AK82" s="37">
        <f>_xlfn.XLOOKUP(Baukon[[#This Row],[LCA Datensatz]],LeitRess_Materialien[Material_UUID],LeitRess_Materialien[PENRT '[MJ/kg']])*Baukon[[#This Row],[Masse '[kg/m²'] min]]</f>
        <v>20.491472968565958</v>
      </c>
      <c r="AL82" s="37">
        <f>_xlfn.XLOOKUP(Baukon[[#This Row],[LCA Datensatz]],LeitRess_Materialien[Material_UUID],LeitRess_Materialien[PENRT '[MJ/kg']])*Baukon[[#This Row],[Masse '[kg/m²'] max]]</f>
        <v>20.491472968565958</v>
      </c>
      <c r="AM82" s="37" t="e">
        <f>_xlfn.XLOOKUP(Baukon[[#This Row],[LCA Datensatz]],LeitRess_Materialien[Material_UUID],#REF!)*Baukon[[#This Row],[Masse '[kg/m²'] Referenz]]</f>
        <v>#REF!</v>
      </c>
      <c r="AN82" s="37" t="e">
        <f>_xlfn.XLOOKUP(Baukon[[#This Row],[LCA Datensatz]],LeitRess_Materialien[Material_UUID],#REF!)*Baukon[[#This Row],[Masse '[kg/m²'] min]]</f>
        <v>#REF!</v>
      </c>
      <c r="AO82" s="37" t="e">
        <f>_xlfn.XLOOKUP(Baukon[[#This Row],[LCA Datensatz]],LeitRess_Materialien[Material_UUID],#REF!)*Baukon[[#This Row],[Masse '[kg/m²'] max]]</f>
        <v>#REF!</v>
      </c>
      <c r="AP82" s="37">
        <f>_xlfn.XLOOKUP(Baukon[[#This Row],[LCA Datensatz]],LeitRess_Materialien[Material_UUID],LeitRess_Materialien[WDP '[m³ weighted water/kg']])*Baukon[[#This Row],[Masse '[kg/m²'] Referenz]]</f>
        <v>0.28989199614304856</v>
      </c>
      <c r="AQ82" s="37">
        <f>_xlfn.XLOOKUP(Baukon[[#This Row],[LCA Datensatz]],LeitRess_Materialien[Material_UUID],LeitRess_Materialien[WDP '[m³ weighted water/kg']])*Baukon[[#This Row],[Masse '[kg/m²'] min]]</f>
        <v>0.28989199614304856</v>
      </c>
      <c r="AR82" s="37">
        <f>_xlfn.XLOOKUP(Baukon[[#This Row],[LCA Datensatz]],LeitRess_Materialien[Material_UUID],LeitRess_Materialien[WDP '[m³ weighted water/kg']])*Baukon[[#This Row],[Masse '[kg/m²'] max]]</f>
        <v>0.28989199614304856</v>
      </c>
      <c r="AS82" s="39">
        <f>Baukon[[#This Row],[GWP '[kg CO2-Äqu./m²'] Referenz]]/'Ausgabe Tabellen'!$C$21+Baukon[[#This Row],[PENRT '[MJ/m²'] Referenz]]/'Ausgabe Tabellen'!$C$22+Baukon[[#This Row],[RMI '[kg Primärrohstoffe/m²'] Referenz]]/'Ausgabe Tabellen'!$C$23+Baukon[[#This Row],[WDP '[m² weighted water/m²'] Referenz]]/'Ausgabe Tabellen'!$C$24</f>
        <v>2.3771240070454252E-4</v>
      </c>
      <c r="AT82" s="39">
        <f>Baukon[[#This Row],[GWP '[kg CO2-Äqu./m²'] min]]/'Ausgabe Tabellen'!$C$21+Baukon[[#This Row],[PENRT '[MJ/m²'] min]]/'Ausgabe Tabellen'!$C$22+Baukon[[#This Row],[RMI '[kg Primärrohstoffe/m²'] min]]/'Ausgabe Tabellen'!$C$23+Baukon[[#This Row],[WDP '[m² weighted water/m²'] min]]/'Ausgabe Tabellen'!$C$24</f>
        <v>2.3771240070454252E-4</v>
      </c>
      <c r="AU82" s="39">
        <f>Baukon[[#This Row],[GWP '[kg CO2-Äqu./m²'] max]]/'Ausgabe Tabellen'!$C$21+Baukon[[#This Row],[PENRT '[MJ/m²'] max]]/'Ausgabe Tabellen'!$C$22+Baukon[[#This Row],[RMI '[kg Primärrohstoffe/m²'] max]]/'Ausgabe Tabellen'!$C$23+Baukon[[#This Row],[WDP '[m² weighted water/m²'] max]]/'Ausgabe Tabellen'!$C$24</f>
        <v>2.3771240070454252E-4</v>
      </c>
    </row>
    <row r="83" spans="1:16296" s="24" customFormat="1" ht="15.75" x14ac:dyDescent="0.5">
      <c r="A83" s="36" t="s">
        <v>117</v>
      </c>
      <c r="B83" s="36" t="s">
        <v>342</v>
      </c>
      <c r="C83" s="36">
        <v>2</v>
      </c>
      <c r="D83" s="36" t="s">
        <v>343</v>
      </c>
      <c r="E83" s="36" t="str">
        <f>Baukon[[#This Row],[Variante Nummer]]&amp;". "&amp;Baukon[[#This Row],[Name Baukonstruktion]]&amp;" | " &amp;Baukon[[#This Row],[Variante Name]]</f>
        <v>2. Flachdach - Stahlbeton | Referenz PIR</v>
      </c>
      <c r="F83" s="36" t="s">
        <v>344</v>
      </c>
      <c r="G83" s="36" t="s">
        <v>273</v>
      </c>
      <c r="H83" s="36" t="s">
        <v>228</v>
      </c>
      <c r="I83" s="41">
        <v>120</v>
      </c>
      <c r="J83" s="36">
        <f>IF(Baukon[[#This Row],[Material ist Dämmstoff?]]="ja",Baukon[[#This Row],[Dicke '[mm'] Referenz]]+_xlfn.XLOOKUP(RIGHT(Baukon[[#Headers],[Dicke '[mm'] min]],3),Dämmstoffvarianten[Variante],Dämmstoffvarianten[Differenz Dämmstoffedicke zu Referenz '[mm']]),Baukon[[#This Row],[Dicke '[mm'] Referenz]])</f>
        <v>80</v>
      </c>
      <c r="K83" s="36">
        <f>IF(Baukon[[#This Row],[Material ist Dämmstoff?]]="ja",Baukon[[#This Row],[Dicke '[mm'] Referenz]]+_xlfn.XLOOKUP(RIGHT(Baukon[[#Headers],[Dicke '[mm'] max]],3),Dämmstoffvarianten[Variante],Dämmstoffvarianten[Differenz Dämmstoffedicke zu Referenz '[mm']]),Baukon[[#This Row],[Dicke '[mm'] Referenz]])</f>
        <v>200</v>
      </c>
      <c r="L83" s="43">
        <v>1</v>
      </c>
      <c r="M83" s="41"/>
      <c r="N83" s="103">
        <f>IFERROR(Baukon[[#This Row],[Dicke '[mm'] Referenz]]/1000*Baukon[[#This Row],[Flächenanteil '[%']]],"")</f>
        <v>0.12</v>
      </c>
      <c r="O83" s="103">
        <f>IFERROR(Baukon[[#This Row],[Dicke '[mm'] min]]/1000*Baukon[[#This Row],[Flächenanteil '[%']]],"")</f>
        <v>0.08</v>
      </c>
      <c r="P83" s="103">
        <f>IFERROR(Baukon[[#This Row],[Dicke '[mm'] max]]/1000*Baukon[[#This Row],[Flächenanteil '[%']]],"")</f>
        <v>0.2</v>
      </c>
      <c r="Q83"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3.5999999999999996</v>
      </c>
      <c r="R83"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2.4</v>
      </c>
      <c r="S83"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6</v>
      </c>
      <c r="T83" s="42" t="s">
        <v>226</v>
      </c>
      <c r="U83" s="103" t="str">
        <f>_xlfn.XLOOKUP(Baukon[[#This Row],[Material]],LeitRess_Materialien[Name],LeitRess_Materialien[Material_UUID])</f>
        <v>2c076ee7-3853-4f69-9bf5-8ec265fa43e0</v>
      </c>
      <c r="V83" s="42">
        <f>_xlfn.XLOOKUP(Baukon[[#This Row],[LCA Datensatz]],LeitRess_Materialien[Material_UUID],LeitRess_Materialien[Rohdichte_'[kg/m3']])</f>
        <v>30</v>
      </c>
      <c r="W83" s="42">
        <f>_xlfn.XLOOKUP(Baukon[[#This Row],[LCA Datensatz]],LeitRess_Materialien[Material_UUID],LeitRess_Materialien[Flächengewicht_'[kg/m2']])</f>
        <v>0</v>
      </c>
      <c r="X83" s="104">
        <f>_xlfn.XLOOKUP(Baukon[[#This Row],[LCA Datensatz]],LeitRess_Materialien[Material_UUID],LeitRess_Materialien[Längengewicht_'[kg/m']])</f>
        <v>0</v>
      </c>
      <c r="Y83" s="104">
        <f>_xlfn.XLOOKUP(Baukon[[#This Row],[LCA Datensatz]],LeitRess_Materialien[Material_UUID],LeitRess_Materialien[lambda_'[W/mK']])</f>
        <v>2.5999999999999999E-2</v>
      </c>
      <c r="Z83" s="103">
        <f>IFERROR(Baukon[[#This Row],[Dicke '[mm'] Referenz]]/Baukon[[#This Row],[lambda_'[W/mK']]],"")</f>
        <v>4615.3846153846152</v>
      </c>
      <c r="AA83" s="37">
        <f>_xlfn.XLOOKUP(Baukon[[#This Row],[LCA Datensatz]],LeitRess_Materialien[Material_UUID],LeitRess_Materialien[RMI '[kg Primärrohstoffe / kg']])*Baukon[[#This Row],[Masse '[kg/m²'] Referenz]]</f>
        <v>23.216335199521307</v>
      </c>
      <c r="AB83" s="37">
        <f>_xlfn.XLOOKUP(Baukon[[#This Row],[LCA Datensatz]],LeitRess_Materialien[Material_UUID],LeitRess_Materialien[RMI '[kg Primärrohstoffe / kg']])*Baukon[[#This Row],[Masse '[kg/m²'] min]]</f>
        <v>15.477556799680871</v>
      </c>
      <c r="AC83" s="37">
        <f>_xlfn.XLOOKUP(Baukon[[#This Row],[LCA Datensatz]],LeitRess_Materialien[Material_UUID],LeitRess_Materialien[RMI '[kg Primärrohstoffe / kg']])*Baukon[[#This Row],[Masse '[kg/m²'] max]]</f>
        <v>38.693891999202179</v>
      </c>
      <c r="AD83" s="37">
        <f>_xlfn.XLOOKUP(Baukon[[#This Row],[LCA Datensatz]],LeitRess_Materialien[Material_UUID],LeitRess_Materialien[TMR '[kg Gesamtmaterialaufwand/kg']])*Baukon[[#This Row],[Masse '[kg/m²'] Referenz]]</f>
        <v>29.308050627900545</v>
      </c>
      <c r="AE83" s="37">
        <f>_xlfn.XLOOKUP(Baukon[[#This Row],[LCA Datensatz]],LeitRess_Materialien[Material_UUID],LeitRess_Materialien[TMR '[kg Gesamtmaterialaufwand/kg']])*Baukon[[#This Row],[Masse '[kg/m²'] min]]</f>
        <v>19.538700418600367</v>
      </c>
      <c r="AF83" s="37">
        <f>_xlfn.XLOOKUP(Baukon[[#This Row],[LCA Datensatz]],LeitRess_Materialien[Material_UUID],LeitRess_Materialien[TMR '[kg Gesamtmaterialaufwand/kg']])*Baukon[[#This Row],[Masse '[kg/m²'] max]]</f>
        <v>48.846751046500913</v>
      </c>
      <c r="AG83" s="37">
        <f>_xlfn.XLOOKUP(Baukon[[#This Row],[LCA Datensatz]],LeitRess_Materialien[Material_UUID],LeitRess_Materialien[GWP '[kg CO2-Äqu./kg']])*Baukon[[#This Row],[Masse '[kg/m²'] Referenz]]</f>
        <v>11.251888276319999</v>
      </c>
      <c r="AH83" s="37">
        <f>_xlfn.XLOOKUP(Baukon[[#This Row],[LCA Datensatz]],LeitRess_Materialien[Material_UUID],LeitRess_Materialien[GWP '[kg CO2-Äqu./kg']])*Baukon[[#This Row],[Masse '[kg/m²'] min]]</f>
        <v>7.5012588508799993</v>
      </c>
      <c r="AI83" s="37">
        <f>_xlfn.XLOOKUP(Baukon[[#This Row],[LCA Datensatz]],LeitRess_Materialien[Material_UUID],LeitRess_Materialien[GWP '[kg CO2-Äqu./kg']])*Baukon[[#This Row],[Masse '[kg/m²'] max]]</f>
        <v>18.753147127200002</v>
      </c>
      <c r="AJ83" s="37">
        <f>_xlfn.XLOOKUP(Baukon[[#This Row],[LCA Datensatz]],LeitRess_Materialien[Material_UUID],LeitRess_Materialien[PENRT '[MJ/kg']])*Baukon[[#This Row],[Masse '[kg/m²'] Referenz]]</f>
        <v>261.17116632</v>
      </c>
      <c r="AK83" s="37">
        <f>_xlfn.XLOOKUP(Baukon[[#This Row],[LCA Datensatz]],LeitRess_Materialien[Material_UUID],LeitRess_Materialien[PENRT '[MJ/kg']])*Baukon[[#This Row],[Masse '[kg/m²'] min]]</f>
        <v>174.11411088</v>
      </c>
      <c r="AL83" s="37">
        <f>_xlfn.XLOOKUP(Baukon[[#This Row],[LCA Datensatz]],LeitRess_Materialien[Material_UUID],LeitRess_Materialien[PENRT '[MJ/kg']])*Baukon[[#This Row],[Masse '[kg/m²'] max]]</f>
        <v>435.2852772</v>
      </c>
      <c r="AM83" s="37" t="e">
        <f>_xlfn.XLOOKUP(Baukon[[#This Row],[LCA Datensatz]],LeitRess_Materialien[Material_UUID],#REF!)*Baukon[[#This Row],[Masse '[kg/m²'] Referenz]]</f>
        <v>#REF!</v>
      </c>
      <c r="AN83" s="37" t="e">
        <f>_xlfn.XLOOKUP(Baukon[[#This Row],[LCA Datensatz]],LeitRess_Materialien[Material_UUID],#REF!)*Baukon[[#This Row],[Masse '[kg/m²'] min]]</f>
        <v>#REF!</v>
      </c>
      <c r="AO83" s="37" t="e">
        <f>_xlfn.XLOOKUP(Baukon[[#This Row],[LCA Datensatz]],LeitRess_Materialien[Material_UUID],#REF!)*Baukon[[#This Row],[Masse '[kg/m²'] max]]</f>
        <v>#REF!</v>
      </c>
      <c r="AP83" s="37">
        <f>_xlfn.XLOOKUP(Baukon[[#This Row],[LCA Datensatz]],LeitRess_Materialien[Material_UUID],LeitRess_Materialien[WDP '[m³ weighted water/kg']])*Baukon[[#This Row],[Masse '[kg/m²'] Referenz]]</f>
        <v>19.185573930911747</v>
      </c>
      <c r="AQ83" s="37">
        <f>_xlfn.XLOOKUP(Baukon[[#This Row],[LCA Datensatz]],LeitRess_Materialien[Material_UUID],LeitRess_Materialien[WDP '[m³ weighted water/kg']])*Baukon[[#This Row],[Masse '[kg/m²'] min]]</f>
        <v>12.790382620607833</v>
      </c>
      <c r="AR83" s="37">
        <f>_xlfn.XLOOKUP(Baukon[[#This Row],[LCA Datensatz]],LeitRess_Materialien[Material_UUID],LeitRess_Materialien[WDP '[m³ weighted water/kg']])*Baukon[[#This Row],[Masse '[kg/m²'] max]]</f>
        <v>31.97595655151958</v>
      </c>
      <c r="AS83" s="39">
        <f>Baukon[[#This Row],[GWP '[kg CO2-Äqu./m²'] Referenz]]/'Ausgabe Tabellen'!$C$21+Baukon[[#This Row],[PENRT '[MJ/m²'] Referenz]]/'Ausgabe Tabellen'!$C$22+Baukon[[#This Row],[RMI '[kg Primärrohstoffe/m²'] Referenz]]/'Ausgabe Tabellen'!$C$23+Baukon[[#This Row],[WDP '[m² weighted water/m²'] Referenz]]/'Ausgabe Tabellen'!$C$24</f>
        <v>5.220978089262758E-3</v>
      </c>
      <c r="AT83" s="39">
        <f>Baukon[[#This Row],[GWP '[kg CO2-Äqu./m²'] min]]/'Ausgabe Tabellen'!$C$21+Baukon[[#This Row],[PENRT '[MJ/m²'] min]]/'Ausgabe Tabellen'!$C$22+Baukon[[#This Row],[RMI '[kg Primärrohstoffe/m²'] min]]/'Ausgabe Tabellen'!$C$23+Baukon[[#This Row],[WDP '[m² weighted water/m²'] min]]/'Ausgabe Tabellen'!$C$24</f>
        <v>3.4806520595085056E-3</v>
      </c>
      <c r="AU83" s="39">
        <f>Baukon[[#This Row],[GWP '[kg CO2-Äqu./m²'] max]]/'Ausgabe Tabellen'!$C$21+Baukon[[#This Row],[PENRT '[MJ/m²'] max]]/'Ausgabe Tabellen'!$C$22+Baukon[[#This Row],[RMI '[kg Primärrohstoffe/m²'] max]]/'Ausgabe Tabellen'!$C$23+Baukon[[#This Row],[WDP '[m² weighted water/m²'] max]]/'Ausgabe Tabellen'!$C$24</f>
        <v>8.7016301487712645E-3</v>
      </c>
    </row>
    <row r="84" spans="1:16296" s="24" customFormat="1" ht="15.75" x14ac:dyDescent="0.5">
      <c r="A84" s="36" t="s">
        <v>117</v>
      </c>
      <c r="B84" s="36" t="s">
        <v>342</v>
      </c>
      <c r="C84" s="36">
        <v>2</v>
      </c>
      <c r="D84" s="36" t="s">
        <v>343</v>
      </c>
      <c r="E84" s="36" t="str">
        <f>Baukon[[#This Row],[Variante Nummer]]&amp;". "&amp;Baukon[[#This Row],[Name Baukonstruktion]]&amp;" | " &amp;Baukon[[#This Row],[Variante Name]]</f>
        <v>2. Flachdach - Stahlbeton | Referenz PIR</v>
      </c>
      <c r="F84" s="36" t="s">
        <v>345</v>
      </c>
      <c r="G84" s="36" t="s">
        <v>280</v>
      </c>
      <c r="H84" s="36" t="s">
        <v>225</v>
      </c>
      <c r="I84" s="41">
        <v>5</v>
      </c>
      <c r="J84" s="36">
        <f>IF(Baukon[[#This Row],[Material ist Dämmstoff?]]="ja",Baukon[[#This Row],[Dicke '[mm'] Referenz]]+_xlfn.XLOOKUP(RIGHT(Baukon[[#Headers],[Dicke '[mm'] min]],3),Dämmstoffvarianten[Variante],Dämmstoffvarianten[Differenz Dämmstoffedicke zu Referenz '[mm']]),Baukon[[#This Row],[Dicke '[mm'] Referenz]])</f>
        <v>5</v>
      </c>
      <c r="K84" s="36">
        <f>IF(Baukon[[#This Row],[Material ist Dämmstoff?]]="ja",Baukon[[#This Row],[Dicke '[mm'] Referenz]]+_xlfn.XLOOKUP(RIGHT(Baukon[[#Headers],[Dicke '[mm'] max]],3),Dämmstoffvarianten[Variante],Dämmstoffvarianten[Differenz Dämmstoffedicke zu Referenz '[mm']]),Baukon[[#This Row],[Dicke '[mm'] Referenz]])</f>
        <v>5</v>
      </c>
      <c r="L84" s="43">
        <v>1</v>
      </c>
      <c r="M84" s="41"/>
      <c r="N84" s="103">
        <f>IFERROR(Baukon[[#This Row],[Dicke '[mm'] Referenz]]/1000*Baukon[[#This Row],[Flächenanteil '[%']]],"")</f>
        <v>5.0000000000000001E-3</v>
      </c>
      <c r="O84" s="103">
        <f>IFERROR(Baukon[[#This Row],[Dicke '[mm'] min]]/1000*Baukon[[#This Row],[Flächenanteil '[%']]],"")</f>
        <v>5.0000000000000001E-3</v>
      </c>
      <c r="P84" s="103">
        <f>IFERROR(Baukon[[#This Row],[Dicke '[mm'] max]]/1000*Baukon[[#This Row],[Flächenanteil '[%']]],"")</f>
        <v>5.0000000000000001E-3</v>
      </c>
      <c r="Q84"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5.75</v>
      </c>
      <c r="R84"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5.75</v>
      </c>
      <c r="S84"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5.75</v>
      </c>
      <c r="T84" s="42"/>
      <c r="U84" s="103" t="str">
        <f>_xlfn.XLOOKUP(Baukon[[#This Row],[Material]],LeitRess_Materialien[Name],LeitRess_Materialien[Material_UUID])</f>
        <v>341e2e42-dab2-427b-86f6-a80c701b6071</v>
      </c>
      <c r="V84" s="42">
        <f>_xlfn.XLOOKUP(Baukon[[#This Row],[LCA Datensatz]],LeitRess_Materialien[Material_UUID],LeitRess_Materialien[Rohdichte_'[kg/m3']])</f>
        <v>1150</v>
      </c>
      <c r="W84" s="42">
        <f>_xlfn.XLOOKUP(Baukon[[#This Row],[LCA Datensatz]],LeitRess_Materialien[Material_UUID],LeitRess_Materialien[Flächengewicht_'[kg/m2']])</f>
        <v>2</v>
      </c>
      <c r="X84" s="104">
        <f>_xlfn.XLOOKUP(Baukon[[#This Row],[LCA Datensatz]],LeitRess_Materialien[Material_UUID],LeitRess_Materialien[Längengewicht_'[kg/m']])</f>
        <v>0</v>
      </c>
      <c r="Y84" s="104">
        <f>_xlfn.XLOOKUP(Baukon[[#This Row],[LCA Datensatz]],LeitRess_Materialien[Material_UUID],LeitRess_Materialien[lambda_'[W/mK']])</f>
        <v>0.3</v>
      </c>
      <c r="Z84" s="103">
        <f>IFERROR(Baukon[[#This Row],[Dicke '[mm'] Referenz]]/Baukon[[#This Row],[lambda_'[W/mK']]],"")</f>
        <v>16.666666666666668</v>
      </c>
      <c r="AA84" s="37">
        <f>_xlfn.XLOOKUP(Baukon[[#This Row],[LCA Datensatz]],LeitRess_Materialien[Material_UUID],LeitRess_Materialien[RMI '[kg Primärrohstoffe / kg']])*Baukon[[#This Row],[Masse '[kg/m²'] Referenz]]</f>
        <v>19.658485352407961</v>
      </c>
      <c r="AB84" s="37">
        <f>_xlfn.XLOOKUP(Baukon[[#This Row],[LCA Datensatz]],LeitRess_Materialien[Material_UUID],LeitRess_Materialien[RMI '[kg Primärrohstoffe / kg']])*Baukon[[#This Row],[Masse '[kg/m²'] min]]</f>
        <v>19.658485352407961</v>
      </c>
      <c r="AC84" s="37">
        <f>_xlfn.XLOOKUP(Baukon[[#This Row],[LCA Datensatz]],LeitRess_Materialien[Material_UUID],LeitRess_Materialien[RMI '[kg Primärrohstoffe / kg']])*Baukon[[#This Row],[Masse '[kg/m²'] max]]</f>
        <v>19.658485352407961</v>
      </c>
      <c r="AD84" s="37">
        <f>_xlfn.XLOOKUP(Baukon[[#This Row],[LCA Datensatz]],LeitRess_Materialien[Material_UUID],LeitRess_Materialien[TMR '[kg Gesamtmaterialaufwand/kg']])*Baukon[[#This Row],[Masse '[kg/m²'] Referenz]]</f>
        <v>25.632007958102854</v>
      </c>
      <c r="AE84" s="37">
        <f>_xlfn.XLOOKUP(Baukon[[#This Row],[LCA Datensatz]],LeitRess_Materialien[Material_UUID],LeitRess_Materialien[TMR '[kg Gesamtmaterialaufwand/kg']])*Baukon[[#This Row],[Masse '[kg/m²'] min]]</f>
        <v>25.632007958102854</v>
      </c>
      <c r="AF84" s="37">
        <f>_xlfn.XLOOKUP(Baukon[[#This Row],[LCA Datensatz]],LeitRess_Materialien[Material_UUID],LeitRess_Materialien[TMR '[kg Gesamtmaterialaufwand/kg']])*Baukon[[#This Row],[Masse '[kg/m²'] max]]</f>
        <v>25.632007958102854</v>
      </c>
      <c r="AG84" s="37">
        <f>_xlfn.XLOOKUP(Baukon[[#This Row],[LCA Datensatz]],LeitRess_Materialien[Material_UUID],LeitRess_Materialien[GWP '[kg CO2-Äqu./kg']])*Baukon[[#This Row],[Masse '[kg/m²'] Referenz]]</f>
        <v>13.727878671285412</v>
      </c>
      <c r="AH84" s="37">
        <f>_xlfn.XLOOKUP(Baukon[[#This Row],[LCA Datensatz]],LeitRess_Materialien[Material_UUID],LeitRess_Materialien[GWP '[kg CO2-Äqu./kg']])*Baukon[[#This Row],[Masse '[kg/m²'] min]]</f>
        <v>13.727878671285412</v>
      </c>
      <c r="AI84" s="37">
        <f>_xlfn.XLOOKUP(Baukon[[#This Row],[LCA Datensatz]],LeitRess_Materialien[Material_UUID],LeitRess_Materialien[GWP '[kg CO2-Äqu./kg']])*Baukon[[#This Row],[Masse '[kg/m²'] max]]</f>
        <v>13.727878671285412</v>
      </c>
      <c r="AJ84" s="37">
        <f>_xlfn.XLOOKUP(Baukon[[#This Row],[LCA Datensatz]],LeitRess_Materialien[Material_UUID],LeitRess_Materialien[PENRT '[MJ/kg']])*Baukon[[#This Row],[Masse '[kg/m²'] Referenz]]</f>
        <v>463.17637868013645</v>
      </c>
      <c r="AK84" s="37">
        <f>_xlfn.XLOOKUP(Baukon[[#This Row],[LCA Datensatz]],LeitRess_Materialien[Material_UUID],LeitRess_Materialien[PENRT '[MJ/kg']])*Baukon[[#This Row],[Masse '[kg/m²'] min]]</f>
        <v>463.17637868013645</v>
      </c>
      <c r="AL84" s="37">
        <f>_xlfn.XLOOKUP(Baukon[[#This Row],[LCA Datensatz]],LeitRess_Materialien[Material_UUID],LeitRess_Materialien[PENRT '[MJ/kg']])*Baukon[[#This Row],[Masse '[kg/m²'] max]]</f>
        <v>463.17637868013645</v>
      </c>
      <c r="AM84" s="37" t="e">
        <f>_xlfn.XLOOKUP(Baukon[[#This Row],[LCA Datensatz]],LeitRess_Materialien[Material_UUID],#REF!)*Baukon[[#This Row],[Masse '[kg/m²'] Referenz]]</f>
        <v>#REF!</v>
      </c>
      <c r="AN84" s="37" t="e">
        <f>_xlfn.XLOOKUP(Baukon[[#This Row],[LCA Datensatz]],LeitRess_Materialien[Material_UUID],#REF!)*Baukon[[#This Row],[Masse '[kg/m²'] min]]</f>
        <v>#REF!</v>
      </c>
      <c r="AO84" s="37" t="e">
        <f>_xlfn.XLOOKUP(Baukon[[#This Row],[LCA Datensatz]],LeitRess_Materialien[Material_UUID],#REF!)*Baukon[[#This Row],[Masse '[kg/m²'] max]]</f>
        <v>#REF!</v>
      </c>
      <c r="AP84" s="37">
        <f>_xlfn.XLOOKUP(Baukon[[#This Row],[LCA Datensatz]],LeitRess_Materialien[Material_UUID],LeitRess_Materialien[WDP '[m³ weighted water/kg']])*Baukon[[#This Row],[Masse '[kg/m²'] Referenz]]</f>
        <v>11.782133311776372</v>
      </c>
      <c r="AQ84" s="37">
        <f>_xlfn.XLOOKUP(Baukon[[#This Row],[LCA Datensatz]],LeitRess_Materialien[Material_UUID],LeitRess_Materialien[WDP '[m³ weighted water/kg']])*Baukon[[#This Row],[Masse '[kg/m²'] min]]</f>
        <v>11.782133311776372</v>
      </c>
      <c r="AR84" s="37">
        <f>_xlfn.XLOOKUP(Baukon[[#This Row],[LCA Datensatz]],LeitRess_Materialien[Material_UUID],LeitRess_Materialien[WDP '[m³ weighted water/kg']])*Baukon[[#This Row],[Masse '[kg/m²'] max]]</f>
        <v>11.782133311776372</v>
      </c>
      <c r="AS84" s="39">
        <f>Baukon[[#This Row],[GWP '[kg CO2-Äqu./m²'] Referenz]]/'Ausgabe Tabellen'!$C$21+Baukon[[#This Row],[PENRT '[MJ/m²'] Referenz]]/'Ausgabe Tabellen'!$C$22+Baukon[[#This Row],[RMI '[kg Primärrohstoffe/m²'] Referenz]]/'Ausgabe Tabellen'!$C$23+Baukon[[#This Row],[WDP '[m² weighted water/m²'] Referenz]]/'Ausgabe Tabellen'!$C$24</f>
        <v>6.1352855214924975E-3</v>
      </c>
      <c r="AT84" s="39">
        <f>Baukon[[#This Row],[GWP '[kg CO2-Äqu./m²'] min]]/'Ausgabe Tabellen'!$C$21+Baukon[[#This Row],[PENRT '[MJ/m²'] min]]/'Ausgabe Tabellen'!$C$22+Baukon[[#This Row],[RMI '[kg Primärrohstoffe/m²'] min]]/'Ausgabe Tabellen'!$C$23+Baukon[[#This Row],[WDP '[m² weighted water/m²'] min]]/'Ausgabe Tabellen'!$C$24</f>
        <v>6.1352855214924975E-3</v>
      </c>
      <c r="AU84" s="39">
        <f>Baukon[[#This Row],[GWP '[kg CO2-Äqu./m²'] max]]/'Ausgabe Tabellen'!$C$21+Baukon[[#This Row],[PENRT '[MJ/m²'] max]]/'Ausgabe Tabellen'!$C$22+Baukon[[#This Row],[RMI '[kg Primärrohstoffe/m²'] max]]/'Ausgabe Tabellen'!$C$23+Baukon[[#This Row],[WDP '[m² weighted water/m²'] max]]/'Ausgabe Tabellen'!$C$24</f>
        <v>6.1352855214924975E-3</v>
      </c>
    </row>
    <row r="85" spans="1:16296" s="24" customFormat="1" ht="15.75" x14ac:dyDescent="0.5">
      <c r="A85" s="36" t="s">
        <v>117</v>
      </c>
      <c r="B85" s="36" t="s">
        <v>342</v>
      </c>
      <c r="C85" s="36">
        <v>2</v>
      </c>
      <c r="D85" s="36" t="s">
        <v>343</v>
      </c>
      <c r="E85" s="36" t="str">
        <f>Baukon[[#This Row],[Variante Nummer]]&amp;". "&amp;Baukon[[#This Row],[Name Baukonstruktion]]&amp;" | " &amp;Baukon[[#This Row],[Variante Name]]</f>
        <v>2. Flachdach - Stahlbeton | Referenz PIR</v>
      </c>
      <c r="F85" s="36" t="s">
        <v>346</v>
      </c>
      <c r="G85" s="36" t="s">
        <v>287</v>
      </c>
      <c r="H85" s="36" t="s">
        <v>225</v>
      </c>
      <c r="I85" s="41">
        <v>40</v>
      </c>
      <c r="J85" s="36">
        <f>IF(Baukon[[#This Row],[Material ist Dämmstoff?]]="ja",Baukon[[#This Row],[Dicke '[mm'] Referenz]]+_xlfn.XLOOKUP(RIGHT(Baukon[[#Headers],[Dicke '[mm'] min]],3),Dämmstoffvarianten[Variante],Dämmstoffvarianten[Differenz Dämmstoffedicke zu Referenz '[mm']]),Baukon[[#This Row],[Dicke '[mm'] Referenz]])</f>
        <v>40</v>
      </c>
      <c r="K85" s="36">
        <f>IF(Baukon[[#This Row],[Material ist Dämmstoff?]]="ja",Baukon[[#This Row],[Dicke '[mm'] Referenz]]+_xlfn.XLOOKUP(RIGHT(Baukon[[#Headers],[Dicke '[mm'] max]],3),Dämmstoffvarianten[Variante],Dämmstoffvarianten[Differenz Dämmstoffedicke zu Referenz '[mm']]),Baukon[[#This Row],[Dicke '[mm'] Referenz]])</f>
        <v>40</v>
      </c>
      <c r="L85" s="43">
        <v>1</v>
      </c>
      <c r="M85" s="41"/>
      <c r="N85" s="103">
        <f>IFERROR(Baukon[[#This Row],[Dicke '[mm'] Referenz]]/1000*Baukon[[#This Row],[Flächenanteil '[%']]],"")</f>
        <v>0.04</v>
      </c>
      <c r="O85" s="103">
        <f>IFERROR(Baukon[[#This Row],[Dicke '[mm'] min]]/1000*Baukon[[#This Row],[Flächenanteil '[%']]],"")</f>
        <v>0.04</v>
      </c>
      <c r="P85" s="103">
        <f>IFERROR(Baukon[[#This Row],[Dicke '[mm'] max]]/1000*Baukon[[#This Row],[Flächenanteil '[%']]],"")</f>
        <v>0.04</v>
      </c>
      <c r="Q85"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74</v>
      </c>
      <c r="R85"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74</v>
      </c>
      <c r="S85"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74</v>
      </c>
      <c r="T85" s="42" t="s">
        <v>226</v>
      </c>
      <c r="U85" s="103" t="str">
        <f>_xlfn.XLOOKUP(Baukon[[#This Row],[Material]],LeitRess_Materialien[Name],LeitRess_Materialien[Material_UUID])</f>
        <v>3ce61a4e-4d91-4b1d-b675-276be05b9225</v>
      </c>
      <c r="V85" s="42">
        <f>_xlfn.XLOOKUP(Baukon[[#This Row],[LCA Datensatz]],LeitRess_Materialien[Material_UUID],LeitRess_Materialien[Rohdichte_'[kg/m3']])</f>
        <v>1850</v>
      </c>
      <c r="W85" s="42">
        <f>_xlfn.XLOOKUP(Baukon[[#This Row],[LCA Datensatz]],LeitRess_Materialien[Material_UUID],LeitRess_Materialien[Flächengewicht_'[kg/m2']])</f>
        <v>0</v>
      </c>
      <c r="X85" s="104">
        <f>_xlfn.XLOOKUP(Baukon[[#This Row],[LCA Datensatz]],LeitRess_Materialien[Material_UUID],LeitRess_Materialien[Längengewicht_'[kg/m']])</f>
        <v>0</v>
      </c>
      <c r="Y85" s="104">
        <f>_xlfn.XLOOKUP(Baukon[[#This Row],[LCA Datensatz]],LeitRess_Materialien[Material_UUID],LeitRess_Materialien[lambda_'[W/mK']])</f>
        <v>1.4</v>
      </c>
      <c r="Z85" s="103">
        <f>IFERROR(Baukon[[#This Row],[Dicke '[mm'] Referenz]]/Baukon[[#This Row],[lambda_'[W/mK']]],"")</f>
        <v>28.571428571428573</v>
      </c>
      <c r="AA85" s="37">
        <f>_xlfn.XLOOKUP(Baukon[[#This Row],[LCA Datensatz]],LeitRess_Materialien[Material_UUID],LeitRess_Materialien[RMI '[kg Primärrohstoffe / kg']])*Baukon[[#This Row],[Masse '[kg/m²'] Referenz]]</f>
        <v>77.787970098647634</v>
      </c>
      <c r="AB85" s="37">
        <f>_xlfn.XLOOKUP(Baukon[[#This Row],[LCA Datensatz]],LeitRess_Materialien[Material_UUID],LeitRess_Materialien[RMI '[kg Primärrohstoffe / kg']])*Baukon[[#This Row],[Masse '[kg/m²'] min]]</f>
        <v>77.787970098647634</v>
      </c>
      <c r="AC85" s="37">
        <f>_xlfn.XLOOKUP(Baukon[[#This Row],[LCA Datensatz]],LeitRess_Materialien[Material_UUID],LeitRess_Materialien[RMI '[kg Primärrohstoffe / kg']])*Baukon[[#This Row],[Masse '[kg/m²'] max]]</f>
        <v>77.787970098647634</v>
      </c>
      <c r="AD85" s="37">
        <f>_xlfn.XLOOKUP(Baukon[[#This Row],[LCA Datensatz]],LeitRess_Materialien[Material_UUID],LeitRess_Materialien[TMR '[kg Gesamtmaterialaufwand/kg']])*Baukon[[#This Row],[Masse '[kg/m²'] Referenz]]</f>
        <v>78.832555787420873</v>
      </c>
      <c r="AE85" s="37">
        <f>_xlfn.XLOOKUP(Baukon[[#This Row],[LCA Datensatz]],LeitRess_Materialien[Material_UUID],LeitRess_Materialien[TMR '[kg Gesamtmaterialaufwand/kg']])*Baukon[[#This Row],[Masse '[kg/m²'] min]]</f>
        <v>78.832555787420873</v>
      </c>
      <c r="AF85" s="37">
        <f>_xlfn.XLOOKUP(Baukon[[#This Row],[LCA Datensatz]],LeitRess_Materialien[Material_UUID],LeitRess_Materialien[TMR '[kg Gesamtmaterialaufwand/kg']])*Baukon[[#This Row],[Masse '[kg/m²'] max]]</f>
        <v>78.832555787420873</v>
      </c>
      <c r="AG85" s="37">
        <f>_xlfn.XLOOKUP(Baukon[[#This Row],[LCA Datensatz]],LeitRess_Materialien[Material_UUID],LeitRess_Materialien[GWP '[kg CO2-Äqu./kg']])*Baukon[[#This Row],[Masse '[kg/m²'] Referenz]]</f>
        <v>0.61379340894079937</v>
      </c>
      <c r="AH85" s="37">
        <f>_xlfn.XLOOKUP(Baukon[[#This Row],[LCA Datensatz]],LeitRess_Materialien[Material_UUID],LeitRess_Materialien[GWP '[kg CO2-Äqu./kg']])*Baukon[[#This Row],[Masse '[kg/m²'] min]]</f>
        <v>0.61379340894079937</v>
      </c>
      <c r="AI85" s="37">
        <f>_xlfn.XLOOKUP(Baukon[[#This Row],[LCA Datensatz]],LeitRess_Materialien[Material_UUID],LeitRess_Materialien[GWP '[kg CO2-Äqu./kg']])*Baukon[[#This Row],[Masse '[kg/m²'] max]]</f>
        <v>0.61379340894079937</v>
      </c>
      <c r="AJ85" s="37">
        <f>_xlfn.XLOOKUP(Baukon[[#This Row],[LCA Datensatz]],LeitRess_Materialien[Material_UUID],LeitRess_Materialien[PENRT '[MJ/kg']])*Baukon[[#This Row],[Masse '[kg/m²'] Referenz]]</f>
        <v>10.80622575386186</v>
      </c>
      <c r="AK85" s="37">
        <f>_xlfn.XLOOKUP(Baukon[[#This Row],[LCA Datensatz]],LeitRess_Materialien[Material_UUID],LeitRess_Materialien[PENRT '[MJ/kg']])*Baukon[[#This Row],[Masse '[kg/m²'] min]]</f>
        <v>10.80622575386186</v>
      </c>
      <c r="AL85" s="37">
        <f>_xlfn.XLOOKUP(Baukon[[#This Row],[LCA Datensatz]],LeitRess_Materialien[Material_UUID],LeitRess_Materialien[PENRT '[MJ/kg']])*Baukon[[#This Row],[Masse '[kg/m²'] max]]</f>
        <v>10.80622575386186</v>
      </c>
      <c r="AM85" s="37" t="e">
        <f>_xlfn.XLOOKUP(Baukon[[#This Row],[LCA Datensatz]],LeitRess_Materialien[Material_UUID],#REF!)*Baukon[[#This Row],[Masse '[kg/m²'] Referenz]]</f>
        <v>#REF!</v>
      </c>
      <c r="AN85" s="37" t="e">
        <f>_xlfn.XLOOKUP(Baukon[[#This Row],[LCA Datensatz]],LeitRess_Materialien[Material_UUID],#REF!)*Baukon[[#This Row],[Masse '[kg/m²'] min]]</f>
        <v>#REF!</v>
      </c>
      <c r="AO85" s="37" t="e">
        <f>_xlfn.XLOOKUP(Baukon[[#This Row],[LCA Datensatz]],LeitRess_Materialien[Material_UUID],#REF!)*Baukon[[#This Row],[Masse '[kg/m²'] max]]</f>
        <v>#REF!</v>
      </c>
      <c r="AP85" s="37">
        <f>_xlfn.XLOOKUP(Baukon[[#This Row],[LCA Datensatz]],LeitRess_Materialien[Material_UUID],LeitRess_Materialien[WDP '[m³ weighted water/kg']])*Baukon[[#This Row],[Masse '[kg/m²'] Referenz]]</f>
        <v>1.1981825784725078</v>
      </c>
      <c r="AQ85" s="37">
        <f>_xlfn.XLOOKUP(Baukon[[#This Row],[LCA Datensatz]],LeitRess_Materialien[Material_UUID],LeitRess_Materialien[WDP '[m³ weighted water/kg']])*Baukon[[#This Row],[Masse '[kg/m²'] min]]</f>
        <v>1.1981825784725078</v>
      </c>
      <c r="AR85" s="37">
        <f>_xlfn.XLOOKUP(Baukon[[#This Row],[LCA Datensatz]],LeitRess_Materialien[Material_UUID],LeitRess_Materialien[WDP '[m³ weighted water/kg']])*Baukon[[#This Row],[Masse '[kg/m²'] max]]</f>
        <v>1.1981825784725078</v>
      </c>
      <c r="AS85" s="39">
        <f>Baukon[[#This Row],[GWP '[kg CO2-Äqu./m²'] Referenz]]/'Ausgabe Tabellen'!$C$21+Baukon[[#This Row],[PENRT '[MJ/m²'] Referenz]]/'Ausgabe Tabellen'!$C$22+Baukon[[#This Row],[RMI '[kg Primärrohstoffe/m²'] Referenz]]/'Ausgabe Tabellen'!$C$23+Baukon[[#This Row],[WDP '[m² weighted water/m²'] Referenz]]/'Ausgabe Tabellen'!$C$24</f>
        <v>2.3701427526530514E-3</v>
      </c>
      <c r="AT85" s="39">
        <f>Baukon[[#This Row],[GWP '[kg CO2-Äqu./m²'] min]]/'Ausgabe Tabellen'!$C$21+Baukon[[#This Row],[PENRT '[MJ/m²'] min]]/'Ausgabe Tabellen'!$C$22+Baukon[[#This Row],[RMI '[kg Primärrohstoffe/m²'] min]]/'Ausgabe Tabellen'!$C$23+Baukon[[#This Row],[WDP '[m² weighted water/m²'] min]]/'Ausgabe Tabellen'!$C$24</f>
        <v>2.3701427526530514E-3</v>
      </c>
      <c r="AU85" s="39">
        <f>Baukon[[#This Row],[GWP '[kg CO2-Äqu./m²'] max]]/'Ausgabe Tabellen'!$C$21+Baukon[[#This Row],[PENRT '[MJ/m²'] max]]/'Ausgabe Tabellen'!$C$22+Baukon[[#This Row],[RMI '[kg Primärrohstoffe/m²'] max]]/'Ausgabe Tabellen'!$C$23+Baukon[[#This Row],[WDP '[m² weighted water/m²'] max]]/'Ausgabe Tabellen'!$C$24</f>
        <v>2.3701427526530514E-3</v>
      </c>
    </row>
    <row r="86" spans="1:16296" s="24" customFormat="1" ht="15.75" x14ac:dyDescent="0.5">
      <c r="A86" s="36" t="s">
        <v>117</v>
      </c>
      <c r="B86" s="36" t="s">
        <v>347</v>
      </c>
      <c r="C86" s="36">
        <v>1</v>
      </c>
      <c r="D86" s="36" t="s">
        <v>312</v>
      </c>
      <c r="E86" s="36" t="str">
        <f>Baukon[[#This Row],[Variante Nummer]]&amp;". "&amp;Baukon[[#This Row],[Name Baukonstruktion]]&amp;" | " &amp;Baukon[[#This Row],[Variante Name]]</f>
        <v>1. Schrägdach - Holzkonstruktion | Referenz MiWo</v>
      </c>
      <c r="F86" s="36" t="s">
        <v>319</v>
      </c>
      <c r="G86" s="36" t="s">
        <v>282</v>
      </c>
      <c r="H86" s="36" t="s">
        <v>225</v>
      </c>
      <c r="I86" s="41" t="s">
        <v>368</v>
      </c>
      <c r="J86" s="36" t="str">
        <f>IF(Baukon[[#This Row],[Material ist Dämmstoff?]]="ja",Baukon[[#This Row],[Dicke '[mm'] Referenz]]+_xlfn.XLOOKUP(RIGHT(Baukon[[#Headers],[Dicke '[mm'] min]],3),Dämmstoffvarianten[Variante],Dämmstoffvarianten[Differenz Dämmstoffedicke zu Referenz '[mm']]),Baukon[[#This Row],[Dicke '[mm'] Referenz]])</f>
        <v>0,2</v>
      </c>
      <c r="K86" s="36" t="str">
        <f>IF(Baukon[[#This Row],[Material ist Dämmstoff?]]="ja",Baukon[[#This Row],[Dicke '[mm'] Referenz]]+_xlfn.XLOOKUP(RIGHT(Baukon[[#Headers],[Dicke '[mm'] max]],3),Dämmstoffvarianten[Variante],Dämmstoffvarianten[Differenz Dämmstoffedicke zu Referenz '[mm']]),Baukon[[#This Row],[Dicke '[mm'] Referenz]])</f>
        <v>0,2</v>
      </c>
      <c r="L86" s="43">
        <v>1</v>
      </c>
      <c r="M86" s="41"/>
      <c r="N86" s="103">
        <f>IFERROR(Baukon[[#This Row],[Dicke '[mm'] Referenz]]/1000*Baukon[[#This Row],[Flächenanteil '[%']]],"")</f>
        <v>2.0000000000000001E-4</v>
      </c>
      <c r="O86" s="103">
        <f>IFERROR(Baukon[[#This Row],[Dicke '[mm'] min]]/1000*Baukon[[#This Row],[Flächenanteil '[%']]],"")</f>
        <v>2.0000000000000001E-4</v>
      </c>
      <c r="P86" s="103">
        <f>IFERROR(Baukon[[#This Row],[Dicke '[mm'] max]]/1000*Baukon[[#This Row],[Flächenanteil '[%']]],"")</f>
        <v>2.0000000000000001E-4</v>
      </c>
      <c r="Q86"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0.27800000000000002</v>
      </c>
      <c r="R86"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0.27800000000000002</v>
      </c>
      <c r="S86"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0.27800000000000002</v>
      </c>
      <c r="T86" s="42" t="s">
        <v>226</v>
      </c>
      <c r="U86" s="103" t="str">
        <f>_xlfn.XLOOKUP(Baukon[[#This Row],[Material]],LeitRess_Materialien[Name],LeitRess_Materialien[Material_UUID])</f>
        <v>99792cbc-c5f4-4d2d-bc9e-3790509891a0</v>
      </c>
      <c r="V86" s="42">
        <f>_xlfn.XLOOKUP(Baukon[[#This Row],[LCA Datensatz]],LeitRess_Materialien[Material_UUID],LeitRess_Materialien[Rohdichte_'[kg/m3']])</f>
        <v>1390</v>
      </c>
      <c r="W86" s="42">
        <f>_xlfn.XLOOKUP(Baukon[[#This Row],[LCA Datensatz]],LeitRess_Materialien[Material_UUID],LeitRess_Materialien[Flächengewicht_'[kg/m2']])</f>
        <v>0.2</v>
      </c>
      <c r="X86" s="104">
        <f>_xlfn.XLOOKUP(Baukon[[#This Row],[LCA Datensatz]],LeitRess_Materialien[Material_UUID],LeitRess_Materialien[Längengewicht_'[kg/m']])</f>
        <v>0</v>
      </c>
      <c r="Y86" s="104">
        <f>_xlfn.XLOOKUP(Baukon[[#This Row],[LCA Datensatz]],LeitRess_Materialien[Material_UUID],LeitRess_Materialien[lambda_'[W/mK']])</f>
        <v>0.17</v>
      </c>
      <c r="Z86" s="103">
        <f>IFERROR(Baukon[[#This Row],[Dicke '[mm'] Referenz]]/Baukon[[#This Row],[lambda_'[W/mK']]],"")</f>
        <v>1.1764705882352942</v>
      </c>
      <c r="AA86" s="37">
        <f>_xlfn.XLOOKUP(Baukon[[#This Row],[LCA Datensatz]],LeitRess_Materialien[Material_UUID],LeitRess_Materialien[RMI '[kg Primärrohstoffe / kg']])*Baukon[[#This Row],[Masse '[kg/m²'] Referenz]]</f>
        <v>0.56566490833487659</v>
      </c>
      <c r="AB86" s="37">
        <f>_xlfn.XLOOKUP(Baukon[[#This Row],[LCA Datensatz]],LeitRess_Materialien[Material_UUID],LeitRess_Materialien[RMI '[kg Primärrohstoffe / kg']])*Baukon[[#This Row],[Masse '[kg/m²'] min]]</f>
        <v>0.56566490833487659</v>
      </c>
      <c r="AC86" s="37">
        <f>_xlfn.XLOOKUP(Baukon[[#This Row],[LCA Datensatz]],LeitRess_Materialien[Material_UUID],LeitRess_Materialien[RMI '[kg Primärrohstoffe / kg']])*Baukon[[#This Row],[Masse '[kg/m²'] max]]</f>
        <v>0.56566490833487659</v>
      </c>
      <c r="AD86" s="37">
        <f>_xlfn.XLOOKUP(Baukon[[#This Row],[LCA Datensatz]],LeitRess_Materialien[Material_UUID],LeitRess_Materialien[TMR '[kg Gesamtmaterialaufwand/kg']])*Baukon[[#This Row],[Masse '[kg/m²'] Referenz]]</f>
        <v>0.70605426967153773</v>
      </c>
      <c r="AE86" s="37">
        <f>_xlfn.XLOOKUP(Baukon[[#This Row],[LCA Datensatz]],LeitRess_Materialien[Material_UUID],LeitRess_Materialien[TMR '[kg Gesamtmaterialaufwand/kg']])*Baukon[[#This Row],[Masse '[kg/m²'] min]]</f>
        <v>0.70605426967153773</v>
      </c>
      <c r="AF86" s="37">
        <f>_xlfn.XLOOKUP(Baukon[[#This Row],[LCA Datensatz]],LeitRess_Materialien[Material_UUID],LeitRess_Materialien[TMR '[kg Gesamtmaterialaufwand/kg']])*Baukon[[#This Row],[Masse '[kg/m²'] max]]</f>
        <v>0.70605426967153773</v>
      </c>
      <c r="AG86" s="37">
        <f>_xlfn.XLOOKUP(Baukon[[#This Row],[LCA Datensatz]],LeitRess_Materialien[Material_UUID],LeitRess_Materialien[GWP '[kg CO2-Äqu./kg']])*Baukon[[#This Row],[Masse '[kg/m²'] Referenz]]</f>
        <v>0.55327120946390662</v>
      </c>
      <c r="AH86" s="37">
        <f>_xlfn.XLOOKUP(Baukon[[#This Row],[LCA Datensatz]],LeitRess_Materialien[Material_UUID],LeitRess_Materialien[GWP '[kg CO2-Äqu./kg']])*Baukon[[#This Row],[Masse '[kg/m²'] min]]</f>
        <v>0.55327120946390662</v>
      </c>
      <c r="AI86" s="37">
        <f>_xlfn.XLOOKUP(Baukon[[#This Row],[LCA Datensatz]],LeitRess_Materialien[Material_UUID],LeitRess_Materialien[GWP '[kg CO2-Äqu./kg']])*Baukon[[#This Row],[Masse '[kg/m²'] max]]</f>
        <v>0.55327120946390662</v>
      </c>
      <c r="AJ86" s="37">
        <f>_xlfn.XLOOKUP(Baukon[[#This Row],[LCA Datensatz]],LeitRess_Materialien[Material_UUID],LeitRess_Materialien[PENRT '[MJ/kg']])*Baukon[[#This Row],[Masse '[kg/m²'] Referenz]]</f>
        <v>20.491472968565958</v>
      </c>
      <c r="AK86" s="37">
        <f>_xlfn.XLOOKUP(Baukon[[#This Row],[LCA Datensatz]],LeitRess_Materialien[Material_UUID],LeitRess_Materialien[PENRT '[MJ/kg']])*Baukon[[#This Row],[Masse '[kg/m²'] min]]</f>
        <v>20.491472968565958</v>
      </c>
      <c r="AL86" s="37">
        <f>_xlfn.XLOOKUP(Baukon[[#This Row],[LCA Datensatz]],LeitRess_Materialien[Material_UUID],LeitRess_Materialien[PENRT '[MJ/kg']])*Baukon[[#This Row],[Masse '[kg/m²'] max]]</f>
        <v>20.491472968565958</v>
      </c>
      <c r="AM86" s="37" t="e">
        <f>_xlfn.XLOOKUP(Baukon[[#This Row],[LCA Datensatz]],LeitRess_Materialien[Material_UUID],#REF!)*Baukon[[#This Row],[Masse '[kg/m²'] Referenz]]</f>
        <v>#REF!</v>
      </c>
      <c r="AN86" s="37" t="e">
        <f>_xlfn.XLOOKUP(Baukon[[#This Row],[LCA Datensatz]],LeitRess_Materialien[Material_UUID],#REF!)*Baukon[[#This Row],[Masse '[kg/m²'] min]]</f>
        <v>#REF!</v>
      </c>
      <c r="AO86" s="37" t="e">
        <f>_xlfn.XLOOKUP(Baukon[[#This Row],[LCA Datensatz]],LeitRess_Materialien[Material_UUID],#REF!)*Baukon[[#This Row],[Masse '[kg/m²'] max]]</f>
        <v>#REF!</v>
      </c>
      <c r="AP86" s="37">
        <f>_xlfn.XLOOKUP(Baukon[[#This Row],[LCA Datensatz]],LeitRess_Materialien[Material_UUID],LeitRess_Materialien[WDP '[m³ weighted water/kg']])*Baukon[[#This Row],[Masse '[kg/m²'] Referenz]]</f>
        <v>0.28989199614304856</v>
      </c>
      <c r="AQ86" s="37">
        <f>_xlfn.XLOOKUP(Baukon[[#This Row],[LCA Datensatz]],LeitRess_Materialien[Material_UUID],LeitRess_Materialien[WDP '[m³ weighted water/kg']])*Baukon[[#This Row],[Masse '[kg/m²'] min]]</f>
        <v>0.28989199614304856</v>
      </c>
      <c r="AR86" s="37">
        <f>_xlfn.XLOOKUP(Baukon[[#This Row],[LCA Datensatz]],LeitRess_Materialien[Material_UUID],LeitRess_Materialien[WDP '[m³ weighted water/kg']])*Baukon[[#This Row],[Masse '[kg/m²'] max]]</f>
        <v>0.28989199614304856</v>
      </c>
      <c r="AS86" s="39">
        <f>Baukon[[#This Row],[GWP '[kg CO2-Äqu./m²'] Referenz]]/'Ausgabe Tabellen'!$C$21+Baukon[[#This Row],[PENRT '[MJ/m²'] Referenz]]/'Ausgabe Tabellen'!$C$22+Baukon[[#This Row],[RMI '[kg Primärrohstoffe/m²'] Referenz]]/'Ausgabe Tabellen'!$C$23+Baukon[[#This Row],[WDP '[m² weighted water/m²'] Referenz]]/'Ausgabe Tabellen'!$C$24</f>
        <v>2.3771240070454252E-4</v>
      </c>
      <c r="AT86" s="39">
        <f>Baukon[[#This Row],[GWP '[kg CO2-Äqu./m²'] min]]/'Ausgabe Tabellen'!$C$21+Baukon[[#This Row],[PENRT '[MJ/m²'] min]]/'Ausgabe Tabellen'!$C$22+Baukon[[#This Row],[RMI '[kg Primärrohstoffe/m²'] min]]/'Ausgabe Tabellen'!$C$23+Baukon[[#This Row],[WDP '[m² weighted water/m²'] min]]/'Ausgabe Tabellen'!$C$24</f>
        <v>2.3771240070454252E-4</v>
      </c>
      <c r="AU86" s="39">
        <f>Baukon[[#This Row],[GWP '[kg CO2-Äqu./m²'] max]]/'Ausgabe Tabellen'!$C$21+Baukon[[#This Row],[PENRT '[MJ/m²'] max]]/'Ausgabe Tabellen'!$C$22+Baukon[[#This Row],[RMI '[kg Primärrohstoffe/m²'] max]]/'Ausgabe Tabellen'!$C$23+Baukon[[#This Row],[WDP '[m² weighted water/m²'] max]]/'Ausgabe Tabellen'!$C$24</f>
        <v>2.3771240070454252E-4</v>
      </c>
    </row>
    <row r="87" spans="1:16296" s="24" customFormat="1" ht="15.75" x14ac:dyDescent="0.5">
      <c r="A87" s="36" t="s">
        <v>117</v>
      </c>
      <c r="B87" s="36" t="s">
        <v>347</v>
      </c>
      <c r="C87" s="36">
        <v>1</v>
      </c>
      <c r="D87" s="36" t="s">
        <v>312</v>
      </c>
      <c r="E87" s="36" t="str">
        <f>Baukon[[#This Row],[Variante Nummer]]&amp;". "&amp;Baukon[[#This Row],[Name Baukonstruktion]]&amp;" | " &amp;Baukon[[#This Row],[Variante Name]]</f>
        <v>1. Schrägdach - Holzkonstruktion | Referenz MiWo</v>
      </c>
      <c r="F87" s="36" t="s">
        <v>243</v>
      </c>
      <c r="G87" s="36" t="s">
        <v>243</v>
      </c>
      <c r="H87" s="36" t="s">
        <v>225</v>
      </c>
      <c r="I87" s="41">
        <v>120</v>
      </c>
      <c r="J87" s="36">
        <f>IF(Baukon[[#This Row],[Material ist Dämmstoff?]]="ja",Baukon[[#This Row],[Dicke '[mm'] Referenz]]+_xlfn.XLOOKUP(RIGHT(Baukon[[#Headers],[Dicke '[mm'] min]],3),Dämmstoffvarianten[Variante],Dämmstoffvarianten[Differenz Dämmstoffedicke zu Referenz '[mm']]),Baukon[[#This Row],[Dicke '[mm'] Referenz]])</f>
        <v>120</v>
      </c>
      <c r="K87" s="36">
        <f>IF(Baukon[[#This Row],[Material ist Dämmstoff?]]="ja",Baukon[[#This Row],[Dicke '[mm'] Referenz]]+_xlfn.XLOOKUP(RIGHT(Baukon[[#Headers],[Dicke '[mm'] max]],3),Dämmstoffvarianten[Variante],Dämmstoffvarianten[Differenz Dämmstoffedicke zu Referenz '[mm']]),Baukon[[#This Row],[Dicke '[mm'] Referenz]])</f>
        <v>120</v>
      </c>
      <c r="L87" s="43">
        <f>2/100*1/0.6</f>
        <v>3.3333333333333333E-2</v>
      </c>
      <c r="M87" s="41"/>
      <c r="N87" s="103">
        <f>IFERROR(Baukon[[#This Row],[Dicke '[mm'] Referenz]]/1000*Baukon[[#This Row],[Flächenanteil '[%']]],"")</f>
        <v>4.0000000000000001E-3</v>
      </c>
      <c r="O87" s="103">
        <f>IFERROR(Baukon[[#This Row],[Dicke '[mm'] min]]/1000*Baukon[[#This Row],[Flächenanteil '[%']]],"")</f>
        <v>4.0000000000000001E-3</v>
      </c>
      <c r="P87" s="103">
        <f>IFERROR(Baukon[[#This Row],[Dicke '[mm'] max]]/1000*Baukon[[#This Row],[Flächenanteil '[%']]],"")</f>
        <v>4.0000000000000001E-3</v>
      </c>
      <c r="Q87"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1.9716800000000001</v>
      </c>
      <c r="R87"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1.9716800000000001</v>
      </c>
      <c r="S87"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1.9716800000000001</v>
      </c>
      <c r="T87" s="42" t="s">
        <v>458</v>
      </c>
      <c r="U87" s="103" t="str">
        <f>_xlfn.XLOOKUP(Baukon[[#This Row],[Material]],LeitRess_Materialien[Name],LeitRess_Materialien[Material_UUID])</f>
        <v>1a70d292-a82c-42a6-a378-d3cbd9a9af4e</v>
      </c>
      <c r="V87" s="42">
        <f>_xlfn.XLOOKUP(Baukon[[#This Row],[LCA Datensatz]],LeitRess_Materialien[Material_UUID],LeitRess_Materialien[Rohdichte_'[kg/m3']])</f>
        <v>492.92</v>
      </c>
      <c r="W87" s="42">
        <f>_xlfn.XLOOKUP(Baukon[[#This Row],[LCA Datensatz]],LeitRess_Materialien[Material_UUID],LeitRess_Materialien[Flächengewicht_'[kg/m2']])</f>
        <v>0</v>
      </c>
      <c r="X87" s="104">
        <f>_xlfn.XLOOKUP(Baukon[[#This Row],[LCA Datensatz]],LeitRess_Materialien[Material_UUID],LeitRess_Materialien[Längengewicht_'[kg/m']])</f>
        <v>0</v>
      </c>
      <c r="Y87" s="104">
        <f>_xlfn.XLOOKUP(Baukon[[#This Row],[LCA Datensatz]],LeitRess_Materialien[Material_UUID],LeitRess_Materialien[lambda_'[W/mK']])</f>
        <v>0.1</v>
      </c>
      <c r="Z87" s="103">
        <f>IFERROR(Baukon[[#This Row],[Dicke '[mm'] Referenz]]/Baukon[[#This Row],[lambda_'[W/mK']]],"")</f>
        <v>1200</v>
      </c>
      <c r="AA87" s="37">
        <f>_xlfn.XLOOKUP(Baukon[[#This Row],[LCA Datensatz]],LeitRess_Materialien[Material_UUID],LeitRess_Materialien[RMI '[kg Primärrohstoffe / kg']])*Baukon[[#This Row],[Masse '[kg/m²'] Referenz]]</f>
        <v>3.9871412063830429</v>
      </c>
      <c r="AB87" s="37">
        <f>_xlfn.XLOOKUP(Baukon[[#This Row],[LCA Datensatz]],LeitRess_Materialien[Material_UUID],LeitRess_Materialien[RMI '[kg Primärrohstoffe / kg']])*Baukon[[#This Row],[Masse '[kg/m²'] min]]</f>
        <v>3.9871412063830429</v>
      </c>
      <c r="AC87" s="37">
        <f>_xlfn.XLOOKUP(Baukon[[#This Row],[LCA Datensatz]],LeitRess_Materialien[Material_UUID],LeitRess_Materialien[RMI '[kg Primärrohstoffe / kg']])*Baukon[[#This Row],[Masse '[kg/m²'] max]]</f>
        <v>3.9871412063830429</v>
      </c>
      <c r="AD87" s="37">
        <f>_xlfn.XLOOKUP(Baukon[[#This Row],[LCA Datensatz]],LeitRess_Materialien[Material_UUID],LeitRess_Materialien[TMR '[kg Gesamtmaterialaufwand/kg']])*Baukon[[#This Row],[Masse '[kg/m²'] Referenz]]</f>
        <v>4.6155409815618498</v>
      </c>
      <c r="AE87" s="37">
        <f>_xlfn.XLOOKUP(Baukon[[#This Row],[LCA Datensatz]],LeitRess_Materialien[Material_UUID],LeitRess_Materialien[TMR '[kg Gesamtmaterialaufwand/kg']])*Baukon[[#This Row],[Masse '[kg/m²'] min]]</f>
        <v>4.6155409815618498</v>
      </c>
      <c r="AF87" s="37">
        <f>_xlfn.XLOOKUP(Baukon[[#This Row],[LCA Datensatz]],LeitRess_Materialien[Material_UUID],LeitRess_Materialien[TMR '[kg Gesamtmaterialaufwand/kg']])*Baukon[[#This Row],[Masse '[kg/m²'] max]]</f>
        <v>4.6155409815618498</v>
      </c>
      <c r="AG87" s="37">
        <f>_xlfn.XLOOKUP(Baukon[[#This Row],[LCA Datensatz]],LeitRess_Materialien[Material_UUID],LeitRess_Materialien[GWP '[kg CO2-Äqu./kg']])*Baukon[[#This Row],[Masse '[kg/m²'] Referenz]]</f>
        <v>0.41516953477141139</v>
      </c>
      <c r="AH87" s="37">
        <f>_xlfn.XLOOKUP(Baukon[[#This Row],[LCA Datensatz]],LeitRess_Materialien[Material_UUID],LeitRess_Materialien[GWP '[kg CO2-Äqu./kg']])*Baukon[[#This Row],[Masse '[kg/m²'] min]]</f>
        <v>0.41516953477141139</v>
      </c>
      <c r="AI87" s="37">
        <f>_xlfn.XLOOKUP(Baukon[[#This Row],[LCA Datensatz]],LeitRess_Materialien[Material_UUID],LeitRess_Materialien[GWP '[kg CO2-Äqu./kg']])*Baukon[[#This Row],[Masse '[kg/m²'] max]]</f>
        <v>0.41516953477141139</v>
      </c>
      <c r="AJ87" s="37">
        <f>_xlfn.XLOOKUP(Baukon[[#This Row],[LCA Datensatz]],LeitRess_Materialien[Material_UUID],LeitRess_Materialien[PENRT '[MJ/kg']])*Baukon[[#This Row],[Masse '[kg/m²'] Referenz]]</f>
        <v>7.5176991104436057</v>
      </c>
      <c r="AK87" s="37">
        <f>_xlfn.XLOOKUP(Baukon[[#This Row],[LCA Datensatz]],LeitRess_Materialien[Material_UUID],LeitRess_Materialien[PENRT '[MJ/kg']])*Baukon[[#This Row],[Masse '[kg/m²'] min]]</f>
        <v>7.5176991104436057</v>
      </c>
      <c r="AL87" s="37">
        <f>_xlfn.XLOOKUP(Baukon[[#This Row],[LCA Datensatz]],LeitRess_Materialien[Material_UUID],LeitRess_Materialien[PENRT '[MJ/kg']])*Baukon[[#This Row],[Masse '[kg/m²'] max]]</f>
        <v>7.5176991104436057</v>
      </c>
      <c r="AM87" s="37" t="e">
        <f>_xlfn.XLOOKUP(Baukon[[#This Row],[LCA Datensatz]],LeitRess_Materialien[Material_UUID],#REF!)*Baukon[[#This Row],[Masse '[kg/m²'] Referenz]]</f>
        <v>#REF!</v>
      </c>
      <c r="AN87" s="37" t="e">
        <f>_xlfn.XLOOKUP(Baukon[[#This Row],[LCA Datensatz]],LeitRess_Materialien[Material_UUID],#REF!)*Baukon[[#This Row],[Masse '[kg/m²'] min]]</f>
        <v>#REF!</v>
      </c>
      <c r="AO87" s="37" t="e">
        <f>_xlfn.XLOOKUP(Baukon[[#This Row],[LCA Datensatz]],LeitRess_Materialien[Material_UUID],#REF!)*Baukon[[#This Row],[Masse '[kg/m²'] max]]</f>
        <v>#REF!</v>
      </c>
      <c r="AP87" s="37">
        <f>_xlfn.XLOOKUP(Baukon[[#This Row],[LCA Datensatz]],LeitRess_Materialien[Material_UUID],LeitRess_Materialien[WDP '[m³ weighted water/kg']])*Baukon[[#This Row],[Masse '[kg/m²'] Referenz]]</f>
        <v>0.16746702800688482</v>
      </c>
      <c r="AQ87" s="37">
        <f>_xlfn.XLOOKUP(Baukon[[#This Row],[LCA Datensatz]],LeitRess_Materialien[Material_UUID],LeitRess_Materialien[WDP '[m³ weighted water/kg']])*Baukon[[#This Row],[Masse '[kg/m²'] min]]</f>
        <v>0.16746702800688482</v>
      </c>
      <c r="AR87" s="37">
        <f>_xlfn.XLOOKUP(Baukon[[#This Row],[LCA Datensatz]],LeitRess_Materialien[Material_UUID],LeitRess_Materialien[WDP '[m³ weighted water/kg']])*Baukon[[#This Row],[Masse '[kg/m²'] max]]</f>
        <v>0.16746702800688482</v>
      </c>
      <c r="AS87" s="39">
        <f>Baukon[[#This Row],[GWP '[kg CO2-Äqu./m²'] Referenz]]/'Ausgabe Tabellen'!$C$21+Baukon[[#This Row],[PENRT '[MJ/m²'] Referenz]]/'Ausgabe Tabellen'!$C$22+Baukon[[#This Row],[RMI '[kg Primärrohstoffe/m²'] Referenz]]/'Ausgabe Tabellen'!$C$23+Baukon[[#This Row],[WDP '[m² weighted water/m²'] Referenz]]/'Ausgabe Tabellen'!$C$24</f>
        <v>2.1545904389212115E-4</v>
      </c>
      <c r="AT87" s="39">
        <f>Baukon[[#This Row],[GWP '[kg CO2-Äqu./m²'] min]]/'Ausgabe Tabellen'!$C$21+Baukon[[#This Row],[PENRT '[MJ/m²'] min]]/'Ausgabe Tabellen'!$C$22+Baukon[[#This Row],[RMI '[kg Primärrohstoffe/m²'] min]]/'Ausgabe Tabellen'!$C$23+Baukon[[#This Row],[WDP '[m² weighted water/m²'] min]]/'Ausgabe Tabellen'!$C$24</f>
        <v>2.1545904389212115E-4</v>
      </c>
      <c r="AU87" s="39">
        <f>Baukon[[#This Row],[GWP '[kg CO2-Äqu./m²'] max]]/'Ausgabe Tabellen'!$C$21+Baukon[[#This Row],[PENRT '[MJ/m²'] max]]/'Ausgabe Tabellen'!$C$22+Baukon[[#This Row],[RMI '[kg Primärrohstoffe/m²'] max]]/'Ausgabe Tabellen'!$C$23+Baukon[[#This Row],[WDP '[m² weighted water/m²'] max]]/'Ausgabe Tabellen'!$C$24</f>
        <v>2.1545904389212115E-4</v>
      </c>
    </row>
    <row r="88" spans="1:16296" s="24" customFormat="1" ht="15.75" x14ac:dyDescent="0.5">
      <c r="A88" s="36" t="s">
        <v>117</v>
      </c>
      <c r="B88" s="36" t="s">
        <v>347</v>
      </c>
      <c r="C88" s="36">
        <v>1</v>
      </c>
      <c r="D88" s="36" t="s">
        <v>312</v>
      </c>
      <c r="E88" s="36" t="str">
        <f>Baukon[[#This Row],[Variante Nummer]]&amp;". "&amp;Baukon[[#This Row],[Name Baukonstruktion]]&amp;" | " &amp;Baukon[[#This Row],[Variante Name]]</f>
        <v>1. Schrägdach - Holzkonstruktion | Referenz MiWo</v>
      </c>
      <c r="F88" s="36" t="s">
        <v>348</v>
      </c>
      <c r="G88" s="36" t="s">
        <v>227</v>
      </c>
      <c r="H88" s="36" t="s">
        <v>228</v>
      </c>
      <c r="I88" s="41">
        <v>120</v>
      </c>
      <c r="J88" s="36">
        <f>IF(Baukon[[#This Row],[Material ist Dämmstoff?]]="ja",Baukon[[#This Row],[Dicke '[mm'] Referenz]]+_xlfn.XLOOKUP(RIGHT(Baukon[[#Headers],[Dicke '[mm'] min]],3),Dämmstoffvarianten[Variante],Dämmstoffvarianten[Differenz Dämmstoffedicke zu Referenz '[mm']]),Baukon[[#This Row],[Dicke '[mm'] Referenz]])</f>
        <v>80</v>
      </c>
      <c r="K88" s="36">
        <f>IF(Baukon[[#This Row],[Material ist Dämmstoff?]]="ja",Baukon[[#This Row],[Dicke '[mm'] Referenz]]+_xlfn.XLOOKUP(RIGHT(Baukon[[#Headers],[Dicke '[mm'] max]],3),Dämmstoffvarianten[Variante],Dämmstoffvarianten[Differenz Dämmstoffedicke zu Referenz '[mm']]),Baukon[[#This Row],[Dicke '[mm'] Referenz]])</f>
        <v>200</v>
      </c>
      <c r="L88" s="43">
        <f>1-L87</f>
        <v>0.96666666666666667</v>
      </c>
      <c r="M88" s="41"/>
      <c r="N88" s="103">
        <f>IFERROR(Baukon[[#This Row],[Dicke '[mm'] Referenz]]/1000*Baukon[[#This Row],[Flächenanteil '[%']]],"")</f>
        <v>0.11599999999999999</v>
      </c>
      <c r="O88" s="103">
        <f>IFERROR(Baukon[[#This Row],[Dicke '[mm'] min]]/1000*Baukon[[#This Row],[Flächenanteil '[%']]],"")</f>
        <v>7.7333333333333337E-2</v>
      </c>
      <c r="P88" s="103">
        <f>IFERROR(Baukon[[#This Row],[Dicke '[mm'] max]]/1000*Baukon[[#This Row],[Flächenanteil '[%']]],"")</f>
        <v>0.19333333333333336</v>
      </c>
      <c r="Q88"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5.3649999999999993</v>
      </c>
      <c r="R88"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3.5766666666666667</v>
      </c>
      <c r="S88"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8.9416666666666682</v>
      </c>
      <c r="T88" s="42" t="s">
        <v>226</v>
      </c>
      <c r="U88" s="103" t="str">
        <f>_xlfn.XLOOKUP(Baukon[[#This Row],[Material]],LeitRess_Materialien[Name],LeitRess_Materialien[Material_UUID])</f>
        <v>f8afef87-5de3-4996-838c-1f2af9ef81df</v>
      </c>
      <c r="V88" s="42">
        <f>_xlfn.XLOOKUP(Baukon[[#This Row],[LCA Datensatz]],LeitRess_Materialien[Material_UUID],LeitRess_Materialien[Rohdichte_'[kg/m3']])</f>
        <v>46.25</v>
      </c>
      <c r="W88" s="42">
        <f>_xlfn.XLOOKUP(Baukon[[#This Row],[LCA Datensatz]],LeitRess_Materialien[Material_UUID],LeitRess_Materialien[Flächengewicht_'[kg/m2']])</f>
        <v>0</v>
      </c>
      <c r="X88" s="104">
        <f>_xlfn.XLOOKUP(Baukon[[#This Row],[LCA Datensatz]],LeitRess_Materialien[Material_UUID],LeitRess_Materialien[Längengewicht_'[kg/m']])</f>
        <v>0</v>
      </c>
      <c r="Y88" s="104">
        <f>_xlfn.XLOOKUP(Baukon[[#This Row],[LCA Datensatz]],LeitRess_Materialien[Material_UUID],LeitRess_Materialien[lambda_'[W/mK']])</f>
        <v>4.2000000000000003E-2</v>
      </c>
      <c r="Z88" s="103">
        <f>IFERROR(Baukon[[#This Row],[Dicke '[mm'] Referenz]]/Baukon[[#This Row],[lambda_'[W/mK']]],"")</f>
        <v>2857.1428571428569</v>
      </c>
      <c r="AA88" s="37">
        <f>_xlfn.XLOOKUP(Baukon[[#This Row],[LCA Datensatz]],LeitRess_Materialien[Material_UUID],LeitRess_Materialien[RMI '[kg Primärrohstoffe / kg']])*Baukon[[#This Row],[Masse '[kg/m²'] Referenz]]</f>
        <v>10.33867785285533</v>
      </c>
      <c r="AB88" s="37">
        <f>_xlfn.XLOOKUP(Baukon[[#This Row],[LCA Datensatz]],LeitRess_Materialien[Material_UUID],LeitRess_Materialien[RMI '[kg Primärrohstoffe / kg']])*Baukon[[#This Row],[Masse '[kg/m²'] min]]</f>
        <v>6.8924519019035548</v>
      </c>
      <c r="AC88" s="37">
        <f>_xlfn.XLOOKUP(Baukon[[#This Row],[LCA Datensatz]],LeitRess_Materialien[Material_UUID],LeitRess_Materialien[RMI '[kg Primärrohstoffe / kg']])*Baukon[[#This Row],[Masse '[kg/m²'] max]]</f>
        <v>17.231129754758889</v>
      </c>
      <c r="AD88" s="37">
        <f>_xlfn.XLOOKUP(Baukon[[#This Row],[LCA Datensatz]],LeitRess_Materialien[Material_UUID],LeitRess_Materialien[TMR '[kg Gesamtmaterialaufwand/kg']])*Baukon[[#This Row],[Masse '[kg/m²'] Referenz]]</f>
        <v>12.546581566542704</v>
      </c>
      <c r="AE88" s="37">
        <f>_xlfn.XLOOKUP(Baukon[[#This Row],[LCA Datensatz]],LeitRess_Materialien[Material_UUID],LeitRess_Materialien[TMR '[kg Gesamtmaterialaufwand/kg']])*Baukon[[#This Row],[Masse '[kg/m²'] min]]</f>
        <v>8.3643877110284706</v>
      </c>
      <c r="AF88" s="37">
        <f>_xlfn.XLOOKUP(Baukon[[#This Row],[LCA Datensatz]],LeitRess_Materialien[Material_UUID],LeitRess_Materialien[TMR '[kg Gesamtmaterialaufwand/kg']])*Baukon[[#This Row],[Masse '[kg/m²'] max]]</f>
        <v>20.91096927757118</v>
      </c>
      <c r="AG88" s="37">
        <f>_xlfn.XLOOKUP(Baukon[[#This Row],[LCA Datensatz]],LeitRess_Materialien[Material_UUID],LeitRess_Materialien[GWP '[kg CO2-Äqu./kg']])*Baukon[[#This Row],[Masse '[kg/m²'] Referenz]]</f>
        <v>5.310442408837309</v>
      </c>
      <c r="AH88" s="37">
        <f>_xlfn.XLOOKUP(Baukon[[#This Row],[LCA Datensatz]],LeitRess_Materialien[Material_UUID],LeitRess_Materialien[GWP '[kg CO2-Äqu./kg']])*Baukon[[#This Row],[Masse '[kg/m²'] min]]</f>
        <v>3.5402949392248733</v>
      </c>
      <c r="AI88" s="37">
        <f>_xlfn.XLOOKUP(Baukon[[#This Row],[LCA Datensatz]],LeitRess_Materialien[Material_UUID],LeitRess_Materialien[GWP '[kg CO2-Äqu./kg']])*Baukon[[#This Row],[Masse '[kg/m²'] max]]</f>
        <v>8.850737348062184</v>
      </c>
      <c r="AJ88" s="37">
        <f>_xlfn.XLOOKUP(Baukon[[#This Row],[LCA Datensatz]],LeitRess_Materialien[Material_UUID],LeitRess_Materialien[PENRT '[MJ/kg']])*Baukon[[#This Row],[Masse '[kg/m²'] Referenz]]</f>
        <v>114.13758246377702</v>
      </c>
      <c r="AK88" s="37">
        <f>_xlfn.XLOOKUP(Baukon[[#This Row],[LCA Datensatz]],LeitRess_Materialien[Material_UUID],LeitRess_Materialien[PENRT '[MJ/kg']])*Baukon[[#This Row],[Masse '[kg/m²'] min]]</f>
        <v>76.091721642518024</v>
      </c>
      <c r="AL88" s="37">
        <f>_xlfn.XLOOKUP(Baukon[[#This Row],[LCA Datensatz]],LeitRess_Materialien[Material_UUID],LeitRess_Materialien[PENRT '[MJ/kg']])*Baukon[[#This Row],[Masse '[kg/m²'] max]]</f>
        <v>190.2293041062951</v>
      </c>
      <c r="AM88" s="37" t="e">
        <f>_xlfn.XLOOKUP(Baukon[[#This Row],[LCA Datensatz]],LeitRess_Materialien[Material_UUID],#REF!)*Baukon[[#This Row],[Masse '[kg/m²'] Referenz]]</f>
        <v>#REF!</v>
      </c>
      <c r="AN88" s="37" t="e">
        <f>_xlfn.XLOOKUP(Baukon[[#This Row],[LCA Datensatz]],LeitRess_Materialien[Material_UUID],#REF!)*Baukon[[#This Row],[Masse '[kg/m²'] min]]</f>
        <v>#REF!</v>
      </c>
      <c r="AO88" s="37" t="e">
        <f>_xlfn.XLOOKUP(Baukon[[#This Row],[LCA Datensatz]],LeitRess_Materialien[Material_UUID],#REF!)*Baukon[[#This Row],[Masse '[kg/m²'] max]]</f>
        <v>#REF!</v>
      </c>
      <c r="AP88" s="37">
        <f>_xlfn.XLOOKUP(Baukon[[#This Row],[LCA Datensatz]],LeitRess_Materialien[Material_UUID],LeitRess_Materialien[WDP '[m³ weighted water/kg']])*Baukon[[#This Row],[Masse '[kg/m²'] Referenz]]</f>
        <v>5.8140151269231266</v>
      </c>
      <c r="AQ88" s="37">
        <f>_xlfn.XLOOKUP(Baukon[[#This Row],[LCA Datensatz]],LeitRess_Materialien[Material_UUID],LeitRess_Materialien[WDP '[m³ weighted water/kg']])*Baukon[[#This Row],[Masse '[kg/m²'] min]]</f>
        <v>3.8760100846154182</v>
      </c>
      <c r="AR88" s="37">
        <f>_xlfn.XLOOKUP(Baukon[[#This Row],[LCA Datensatz]],LeitRess_Materialien[Material_UUID],LeitRess_Materialien[WDP '[m³ weighted water/kg']])*Baukon[[#This Row],[Masse '[kg/m²'] max]]</f>
        <v>9.690025211538547</v>
      </c>
      <c r="AS88" s="39">
        <f>Baukon[[#This Row],[GWP '[kg CO2-Äqu./m²'] Referenz]]/'Ausgabe Tabellen'!$C$21+Baukon[[#This Row],[PENRT '[MJ/m²'] Referenz]]/'Ausgabe Tabellen'!$C$22+Baukon[[#This Row],[RMI '[kg Primärrohstoffe/m²'] Referenz]]/'Ausgabe Tabellen'!$C$23+Baukon[[#This Row],[WDP '[m² weighted water/m²'] Referenz]]/'Ausgabe Tabellen'!$C$24</f>
        <v>2.0952200799597832E-3</v>
      </c>
      <c r="AT88" s="39">
        <f>Baukon[[#This Row],[GWP '[kg CO2-Äqu./m²'] min]]/'Ausgabe Tabellen'!$C$21+Baukon[[#This Row],[PENRT '[MJ/m²'] min]]/'Ausgabe Tabellen'!$C$22+Baukon[[#This Row],[RMI '[kg Primärrohstoffe/m²'] min]]/'Ausgabe Tabellen'!$C$23+Baukon[[#This Row],[WDP '[m² weighted water/m²'] min]]/'Ausgabe Tabellen'!$C$24</f>
        <v>1.3968133866398556E-3</v>
      </c>
      <c r="AU88" s="39">
        <f>Baukon[[#This Row],[GWP '[kg CO2-Äqu./m²'] max]]/'Ausgabe Tabellen'!$C$21+Baukon[[#This Row],[PENRT '[MJ/m²'] max]]/'Ausgabe Tabellen'!$C$22+Baukon[[#This Row],[RMI '[kg Primärrohstoffe/m²'] max]]/'Ausgabe Tabellen'!$C$23+Baukon[[#This Row],[WDP '[m² weighted water/m²'] max]]/'Ausgabe Tabellen'!$C$24</f>
        <v>3.4920334665996399E-3</v>
      </c>
    </row>
    <row r="89" spans="1:16296" s="24" customFormat="1" ht="15.75" x14ac:dyDescent="0.5">
      <c r="A89" s="36" t="s">
        <v>117</v>
      </c>
      <c r="B89" s="36" t="s">
        <v>347</v>
      </c>
      <c r="C89" s="36">
        <v>1</v>
      </c>
      <c r="D89" s="36" t="s">
        <v>312</v>
      </c>
      <c r="E89" s="36" t="str">
        <f>Baukon[[#This Row],[Variante Nummer]]&amp;". "&amp;Baukon[[#This Row],[Name Baukonstruktion]]&amp;" | " &amp;Baukon[[#This Row],[Variante Name]]</f>
        <v>1. Schrägdach - Holzkonstruktion | Referenz MiWo</v>
      </c>
      <c r="F89" s="36" t="s">
        <v>349</v>
      </c>
      <c r="G89" s="36" t="s">
        <v>284</v>
      </c>
      <c r="H89" s="36" t="s">
        <v>225</v>
      </c>
      <c r="I89" s="41"/>
      <c r="J89" s="36">
        <f>IF(Baukon[[#This Row],[Material ist Dämmstoff?]]="ja",Baukon[[#This Row],[Dicke '[mm'] Referenz]]+_xlfn.XLOOKUP(RIGHT(Baukon[[#Headers],[Dicke '[mm'] min]],3),Dämmstoffvarianten[Variante],Dämmstoffvarianten[Differenz Dämmstoffedicke zu Referenz '[mm']]),Baukon[[#This Row],[Dicke '[mm'] Referenz]])</f>
        <v>0</v>
      </c>
      <c r="K89" s="36">
        <f>IF(Baukon[[#This Row],[Material ist Dämmstoff?]]="ja",Baukon[[#This Row],[Dicke '[mm'] Referenz]]+_xlfn.XLOOKUP(RIGHT(Baukon[[#Headers],[Dicke '[mm'] max]],3),Dämmstoffvarianten[Variante],Dämmstoffvarianten[Differenz Dämmstoffedicke zu Referenz '[mm']]),Baukon[[#This Row],[Dicke '[mm'] Referenz]])</f>
        <v>0</v>
      </c>
      <c r="L89" s="43">
        <v>1</v>
      </c>
      <c r="M89" s="41"/>
      <c r="N89" s="103">
        <f>IFERROR(Baukon[[#This Row],[Dicke '[mm'] Referenz]]/1000*Baukon[[#This Row],[Flächenanteil '[%']]],"")</f>
        <v>0</v>
      </c>
      <c r="O89" s="103">
        <f>IFERROR(Baukon[[#This Row],[Dicke '[mm'] min]]/1000*Baukon[[#This Row],[Flächenanteil '[%']]],"")</f>
        <v>0</v>
      </c>
      <c r="P89" s="103">
        <f>IFERROR(Baukon[[#This Row],[Dicke '[mm'] max]]/1000*Baukon[[#This Row],[Flächenanteil '[%']]],"")</f>
        <v>0</v>
      </c>
      <c r="Q89"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0.15</v>
      </c>
      <c r="R89"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0.15</v>
      </c>
      <c r="S89"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0.15</v>
      </c>
      <c r="T89" s="42" t="s">
        <v>226</v>
      </c>
      <c r="U89" s="103" t="str">
        <f>_xlfn.XLOOKUP(Baukon[[#This Row],[Material]],LeitRess_Materialien[Name],LeitRess_Materialien[Material_UUID])</f>
        <v>deb7fe73-3eb8-4f80-937b-7ce3a0a977ed</v>
      </c>
      <c r="V89" s="42">
        <f>_xlfn.XLOOKUP(Baukon[[#This Row],[LCA Datensatz]],LeitRess_Materialien[Material_UUID],LeitRess_Materialien[Rohdichte_'[kg/m3']])</f>
        <v>0</v>
      </c>
      <c r="W89" s="42">
        <f>_xlfn.XLOOKUP(Baukon[[#This Row],[LCA Datensatz]],LeitRess_Materialien[Material_UUID],LeitRess_Materialien[Flächengewicht_'[kg/m2']])</f>
        <v>0.15</v>
      </c>
      <c r="X89" s="104">
        <f>_xlfn.XLOOKUP(Baukon[[#This Row],[LCA Datensatz]],LeitRess_Materialien[Material_UUID],LeitRess_Materialien[Längengewicht_'[kg/m']])</f>
        <v>0</v>
      </c>
      <c r="Y89" s="104">
        <f>_xlfn.XLOOKUP(Baukon[[#This Row],[LCA Datensatz]],LeitRess_Materialien[Material_UUID],LeitRess_Materialien[lambda_'[W/mK']])</f>
        <v>0.22</v>
      </c>
      <c r="Z89" s="103">
        <f>IFERROR(Baukon[[#This Row],[Dicke '[mm'] Referenz]]/Baukon[[#This Row],[lambda_'[W/mK']]],"")</f>
        <v>0</v>
      </c>
      <c r="AA89" s="37">
        <f>_xlfn.XLOOKUP(Baukon[[#This Row],[LCA Datensatz]],LeitRess_Materialien[Material_UUID],LeitRess_Materialien[RMI '[kg Primärrohstoffe / kg']])*Baukon[[#This Row],[Masse '[kg/m²'] Referenz]]</f>
        <v>0.55734693192457496</v>
      </c>
      <c r="AB89" s="37">
        <f>_xlfn.XLOOKUP(Baukon[[#This Row],[LCA Datensatz]],LeitRess_Materialien[Material_UUID],LeitRess_Materialien[RMI '[kg Primärrohstoffe / kg']])*Baukon[[#This Row],[Masse '[kg/m²'] min]]</f>
        <v>0.55734693192457496</v>
      </c>
      <c r="AC89" s="37">
        <f>_xlfn.XLOOKUP(Baukon[[#This Row],[LCA Datensatz]],LeitRess_Materialien[Material_UUID],LeitRess_Materialien[RMI '[kg Primärrohstoffe / kg']])*Baukon[[#This Row],[Masse '[kg/m²'] max]]</f>
        <v>0.55734693192457496</v>
      </c>
      <c r="AD89" s="37">
        <f>_xlfn.XLOOKUP(Baukon[[#This Row],[LCA Datensatz]],LeitRess_Materialien[Material_UUID],LeitRess_Materialien[TMR '[kg Gesamtmaterialaufwand/kg']])*Baukon[[#This Row],[Masse '[kg/m²'] Referenz]]</f>
        <v>0.66592672663025554</v>
      </c>
      <c r="AE89" s="37">
        <f>_xlfn.XLOOKUP(Baukon[[#This Row],[LCA Datensatz]],LeitRess_Materialien[Material_UUID],LeitRess_Materialien[TMR '[kg Gesamtmaterialaufwand/kg']])*Baukon[[#This Row],[Masse '[kg/m²'] min]]</f>
        <v>0.66592672663025554</v>
      </c>
      <c r="AF89" s="37">
        <f>_xlfn.XLOOKUP(Baukon[[#This Row],[LCA Datensatz]],LeitRess_Materialien[Material_UUID],LeitRess_Materialien[TMR '[kg Gesamtmaterialaufwand/kg']])*Baukon[[#This Row],[Masse '[kg/m²'] max]]</f>
        <v>0.66592672663025554</v>
      </c>
      <c r="AG89" s="37">
        <f>_xlfn.XLOOKUP(Baukon[[#This Row],[LCA Datensatz]],LeitRess_Materialien[Material_UUID],LeitRess_Materialien[GWP '[kg CO2-Äqu./kg']])*Baukon[[#This Row],[Masse '[kg/m²'] Referenz]]</f>
        <v>0.42493087056683099</v>
      </c>
      <c r="AH89" s="37">
        <f>_xlfn.XLOOKUP(Baukon[[#This Row],[LCA Datensatz]],LeitRess_Materialien[Material_UUID],LeitRess_Materialien[GWP '[kg CO2-Äqu./kg']])*Baukon[[#This Row],[Masse '[kg/m²'] min]]</f>
        <v>0.42493087056683099</v>
      </c>
      <c r="AI89" s="37">
        <f>_xlfn.XLOOKUP(Baukon[[#This Row],[LCA Datensatz]],LeitRess_Materialien[Material_UUID],LeitRess_Materialien[GWP '[kg CO2-Äqu./kg']])*Baukon[[#This Row],[Masse '[kg/m²'] max]]</f>
        <v>0.42493087056683099</v>
      </c>
      <c r="AJ89" s="37">
        <f>_xlfn.XLOOKUP(Baukon[[#This Row],[LCA Datensatz]],LeitRess_Materialien[Material_UUID],LeitRess_Materialien[PENRT '[MJ/kg']])*Baukon[[#This Row],[Masse '[kg/m²'] Referenz]]</f>
        <v>12.66890388061068</v>
      </c>
      <c r="AK89" s="37">
        <f>_xlfn.XLOOKUP(Baukon[[#This Row],[LCA Datensatz]],LeitRess_Materialien[Material_UUID],LeitRess_Materialien[PENRT '[MJ/kg']])*Baukon[[#This Row],[Masse '[kg/m²'] min]]</f>
        <v>12.66890388061068</v>
      </c>
      <c r="AL89" s="37">
        <f>_xlfn.XLOOKUP(Baukon[[#This Row],[LCA Datensatz]],LeitRess_Materialien[Material_UUID],LeitRess_Materialien[PENRT '[MJ/kg']])*Baukon[[#This Row],[Masse '[kg/m²'] max]]</f>
        <v>12.66890388061068</v>
      </c>
      <c r="AM89" s="37" t="e">
        <f>_xlfn.XLOOKUP(Baukon[[#This Row],[LCA Datensatz]],LeitRess_Materialien[Material_UUID],#REF!)*Baukon[[#This Row],[Masse '[kg/m²'] Referenz]]</f>
        <v>#REF!</v>
      </c>
      <c r="AN89" s="37" t="e">
        <f>_xlfn.XLOOKUP(Baukon[[#This Row],[LCA Datensatz]],LeitRess_Materialien[Material_UUID],#REF!)*Baukon[[#This Row],[Masse '[kg/m²'] min]]</f>
        <v>#REF!</v>
      </c>
      <c r="AO89" s="37" t="e">
        <f>_xlfn.XLOOKUP(Baukon[[#This Row],[LCA Datensatz]],LeitRess_Materialien[Material_UUID],#REF!)*Baukon[[#This Row],[Masse '[kg/m²'] max]]</f>
        <v>#REF!</v>
      </c>
      <c r="AP89" s="37">
        <f>_xlfn.XLOOKUP(Baukon[[#This Row],[LCA Datensatz]],LeitRess_Materialien[Material_UUID],LeitRess_Materialien[WDP '[m³ weighted water/kg']])*Baukon[[#This Row],[Masse '[kg/m²'] Referenz]]</f>
        <v>0.18950097800399698</v>
      </c>
      <c r="AQ89" s="37">
        <f>_xlfn.XLOOKUP(Baukon[[#This Row],[LCA Datensatz]],LeitRess_Materialien[Material_UUID],LeitRess_Materialien[WDP '[m³ weighted water/kg']])*Baukon[[#This Row],[Masse '[kg/m²'] min]]</f>
        <v>0.18950097800399698</v>
      </c>
      <c r="AR89" s="37">
        <f>_xlfn.XLOOKUP(Baukon[[#This Row],[LCA Datensatz]],LeitRess_Materialien[Material_UUID],LeitRess_Materialien[WDP '[m³ weighted water/kg']])*Baukon[[#This Row],[Masse '[kg/m²'] max]]</f>
        <v>0.18950097800399698</v>
      </c>
      <c r="AS89" s="39">
        <f>Baukon[[#This Row],[GWP '[kg CO2-Äqu./m²'] Referenz]]/'Ausgabe Tabellen'!$C$21+Baukon[[#This Row],[PENRT '[MJ/m²'] Referenz]]/'Ausgabe Tabellen'!$C$22+Baukon[[#This Row],[RMI '[kg Primärrohstoffe/m²'] Referenz]]/'Ausgabe Tabellen'!$C$23+Baukon[[#This Row],[WDP '[m² weighted water/m²'] Referenz]]/'Ausgabe Tabellen'!$C$24</f>
        <v>1.610974356003416E-4</v>
      </c>
      <c r="AT89" s="39">
        <f>Baukon[[#This Row],[GWP '[kg CO2-Äqu./m²'] min]]/'Ausgabe Tabellen'!$C$21+Baukon[[#This Row],[PENRT '[MJ/m²'] min]]/'Ausgabe Tabellen'!$C$22+Baukon[[#This Row],[RMI '[kg Primärrohstoffe/m²'] min]]/'Ausgabe Tabellen'!$C$23+Baukon[[#This Row],[WDP '[m² weighted water/m²'] min]]/'Ausgabe Tabellen'!$C$24</f>
        <v>1.610974356003416E-4</v>
      </c>
      <c r="AU89" s="39">
        <f>Baukon[[#This Row],[GWP '[kg CO2-Äqu./m²'] max]]/'Ausgabe Tabellen'!$C$21+Baukon[[#This Row],[PENRT '[MJ/m²'] max]]/'Ausgabe Tabellen'!$C$22+Baukon[[#This Row],[RMI '[kg Primärrohstoffe/m²'] max]]/'Ausgabe Tabellen'!$C$23+Baukon[[#This Row],[WDP '[m² weighted water/m²'] max]]/'Ausgabe Tabellen'!$C$24</f>
        <v>1.610974356003416E-4</v>
      </c>
    </row>
    <row r="90" spans="1:16296" s="24" customFormat="1" ht="15.75" x14ac:dyDescent="0.5">
      <c r="A90" s="36" t="s">
        <v>117</v>
      </c>
      <c r="B90" s="36" t="s">
        <v>347</v>
      </c>
      <c r="C90" s="36">
        <v>1</v>
      </c>
      <c r="D90" s="36" t="s">
        <v>312</v>
      </c>
      <c r="E90" s="36" t="str">
        <f>Baukon[[#This Row],[Variante Nummer]]&amp;". "&amp;Baukon[[#This Row],[Name Baukonstruktion]]&amp;" | " &amp;Baukon[[#This Row],[Variante Name]]</f>
        <v>1. Schrägdach - Holzkonstruktion | Referenz MiWo</v>
      </c>
      <c r="F90" s="36" t="s">
        <v>350</v>
      </c>
      <c r="G90" s="36" t="s">
        <v>283</v>
      </c>
      <c r="H90" s="36" t="s">
        <v>225</v>
      </c>
      <c r="I90" s="41"/>
      <c r="J90" s="36">
        <f>IF(Baukon[[#This Row],[Material ist Dämmstoff?]]="ja",Baukon[[#This Row],[Dicke '[mm'] Referenz]]+_xlfn.XLOOKUP(RIGHT(Baukon[[#Headers],[Dicke '[mm'] min]],3),Dämmstoffvarianten[Variante],Dämmstoffvarianten[Differenz Dämmstoffedicke zu Referenz '[mm']]),Baukon[[#This Row],[Dicke '[mm'] Referenz]])</f>
        <v>0</v>
      </c>
      <c r="K90" s="36">
        <f>IF(Baukon[[#This Row],[Material ist Dämmstoff?]]="ja",Baukon[[#This Row],[Dicke '[mm'] Referenz]]+_xlfn.XLOOKUP(RIGHT(Baukon[[#Headers],[Dicke '[mm'] max]],3),Dämmstoffvarianten[Variante],Dämmstoffvarianten[Differenz Dämmstoffedicke zu Referenz '[mm']]),Baukon[[#This Row],[Dicke '[mm'] Referenz]])</f>
        <v>0</v>
      </c>
      <c r="L90" s="43">
        <v>1</v>
      </c>
      <c r="M90" s="41"/>
      <c r="N90" s="103">
        <f>IFERROR(Baukon[[#This Row],[Dicke '[mm'] Referenz]]/1000*Baukon[[#This Row],[Flächenanteil '[%']]],"")</f>
        <v>0</v>
      </c>
      <c r="O90" s="103">
        <f>IFERROR(Baukon[[#This Row],[Dicke '[mm'] min]]/1000*Baukon[[#This Row],[Flächenanteil '[%']]],"")</f>
        <v>0</v>
      </c>
      <c r="P90" s="103">
        <f>IFERROR(Baukon[[#This Row],[Dicke '[mm'] max]]/1000*Baukon[[#This Row],[Flächenanteil '[%']]],"")</f>
        <v>0</v>
      </c>
      <c r="Q90"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45</v>
      </c>
      <c r="R90"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45</v>
      </c>
      <c r="S90"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45</v>
      </c>
      <c r="T90" s="42" t="s">
        <v>226</v>
      </c>
      <c r="U90" s="103" t="str">
        <f>_xlfn.XLOOKUP(Baukon[[#This Row],[Material]],LeitRess_Materialien[Name],LeitRess_Materialien[Material_UUID])</f>
        <v>826fa2c2-c691-4844-83d3-aea0e8a54bcd</v>
      </c>
      <c r="V90" s="42">
        <f>_xlfn.XLOOKUP(Baukon[[#This Row],[LCA Datensatz]],LeitRess_Materialien[Material_UUID],LeitRess_Materialien[Rohdichte_'[kg/m3']])</f>
        <v>2000</v>
      </c>
      <c r="W90" s="42">
        <f>_xlfn.XLOOKUP(Baukon[[#This Row],[LCA Datensatz]],LeitRess_Materialien[Material_UUID],LeitRess_Materialien[Flächengewicht_'[kg/m2']])</f>
        <v>45</v>
      </c>
      <c r="X90" s="104">
        <f>_xlfn.XLOOKUP(Baukon[[#This Row],[LCA Datensatz]],LeitRess_Materialien[Material_UUID],LeitRess_Materialien[Längengewicht_'[kg/m']])</f>
        <v>0</v>
      </c>
      <c r="Y90" s="104">
        <f>_xlfn.XLOOKUP(Baukon[[#This Row],[LCA Datensatz]],LeitRess_Materialien[Material_UUID],LeitRess_Materialien[lambda_'[W/mK']])</f>
        <v>1</v>
      </c>
      <c r="Z90" s="103">
        <f>IFERROR(Baukon[[#This Row],[Dicke '[mm'] Referenz]]/Baukon[[#This Row],[lambda_'[W/mK']]],"")</f>
        <v>0</v>
      </c>
      <c r="AA90" s="37">
        <f>_xlfn.XLOOKUP(Baukon[[#This Row],[LCA Datensatz]],LeitRess_Materialien[Material_UUID],LeitRess_Materialien[RMI '[kg Primärrohstoffe / kg']])*Baukon[[#This Row],[Masse '[kg/m²'] Referenz]]</f>
        <v>69.331363856127908</v>
      </c>
      <c r="AB90" s="37">
        <f>_xlfn.XLOOKUP(Baukon[[#This Row],[LCA Datensatz]],LeitRess_Materialien[Material_UUID],LeitRess_Materialien[RMI '[kg Primärrohstoffe / kg']])*Baukon[[#This Row],[Masse '[kg/m²'] min]]</f>
        <v>69.331363856127908</v>
      </c>
      <c r="AC90" s="37">
        <f>_xlfn.XLOOKUP(Baukon[[#This Row],[LCA Datensatz]],LeitRess_Materialien[Material_UUID],LeitRess_Materialien[RMI '[kg Primärrohstoffe / kg']])*Baukon[[#This Row],[Masse '[kg/m²'] max]]</f>
        <v>69.331363856127908</v>
      </c>
      <c r="AD90" s="37">
        <f>_xlfn.XLOOKUP(Baukon[[#This Row],[LCA Datensatz]],LeitRess_Materialien[Material_UUID],LeitRess_Materialien[TMR '[kg Gesamtmaterialaufwand/kg']])*Baukon[[#This Row],[Masse '[kg/m²'] Referenz]]</f>
        <v>149.99494718860157</v>
      </c>
      <c r="AE90" s="37">
        <f>_xlfn.XLOOKUP(Baukon[[#This Row],[LCA Datensatz]],LeitRess_Materialien[Material_UUID],LeitRess_Materialien[TMR '[kg Gesamtmaterialaufwand/kg']])*Baukon[[#This Row],[Masse '[kg/m²'] min]]</f>
        <v>149.99494718860157</v>
      </c>
      <c r="AF90" s="37">
        <f>_xlfn.XLOOKUP(Baukon[[#This Row],[LCA Datensatz]],LeitRess_Materialien[Material_UUID],LeitRess_Materialien[TMR '[kg Gesamtmaterialaufwand/kg']])*Baukon[[#This Row],[Masse '[kg/m²'] max]]</f>
        <v>149.99494718860157</v>
      </c>
      <c r="AG90" s="37">
        <f>_xlfn.XLOOKUP(Baukon[[#This Row],[LCA Datensatz]],LeitRess_Materialien[Material_UUID],LeitRess_Materialien[GWP '[kg CO2-Äqu./kg']])*Baukon[[#This Row],[Masse '[kg/m²'] Referenz]]</f>
        <v>15.979782071278215</v>
      </c>
      <c r="AH90" s="37">
        <f>_xlfn.XLOOKUP(Baukon[[#This Row],[LCA Datensatz]],LeitRess_Materialien[Material_UUID],LeitRess_Materialien[GWP '[kg CO2-Äqu./kg']])*Baukon[[#This Row],[Masse '[kg/m²'] min]]</f>
        <v>15.979782071278215</v>
      </c>
      <c r="AI90" s="37">
        <f>_xlfn.XLOOKUP(Baukon[[#This Row],[LCA Datensatz]],LeitRess_Materialien[Material_UUID],LeitRess_Materialien[GWP '[kg CO2-Äqu./kg']])*Baukon[[#This Row],[Masse '[kg/m²'] max]]</f>
        <v>15.979782071278215</v>
      </c>
      <c r="AJ90" s="37">
        <f>_xlfn.XLOOKUP(Baukon[[#This Row],[LCA Datensatz]],LeitRess_Materialien[Material_UUID],LeitRess_Materialien[PENRT '[MJ/kg']])*Baukon[[#This Row],[Masse '[kg/m²'] Referenz]]</f>
        <v>174.72490337954429</v>
      </c>
      <c r="AK90" s="37">
        <f>_xlfn.XLOOKUP(Baukon[[#This Row],[LCA Datensatz]],LeitRess_Materialien[Material_UUID],LeitRess_Materialien[PENRT '[MJ/kg']])*Baukon[[#This Row],[Masse '[kg/m²'] min]]</f>
        <v>174.72490337954429</v>
      </c>
      <c r="AL90" s="37">
        <f>_xlfn.XLOOKUP(Baukon[[#This Row],[LCA Datensatz]],LeitRess_Materialien[Material_UUID],LeitRess_Materialien[PENRT '[MJ/kg']])*Baukon[[#This Row],[Masse '[kg/m²'] max]]</f>
        <v>174.72490337954429</v>
      </c>
      <c r="AM90" s="37" t="e">
        <f>_xlfn.XLOOKUP(Baukon[[#This Row],[LCA Datensatz]],LeitRess_Materialien[Material_UUID],#REF!)*Baukon[[#This Row],[Masse '[kg/m²'] Referenz]]</f>
        <v>#REF!</v>
      </c>
      <c r="AN90" s="37" t="e">
        <f>_xlfn.XLOOKUP(Baukon[[#This Row],[LCA Datensatz]],LeitRess_Materialien[Material_UUID],#REF!)*Baukon[[#This Row],[Masse '[kg/m²'] min]]</f>
        <v>#REF!</v>
      </c>
      <c r="AO90" s="37" t="e">
        <f>_xlfn.XLOOKUP(Baukon[[#This Row],[LCA Datensatz]],LeitRess_Materialien[Material_UUID],#REF!)*Baukon[[#This Row],[Masse '[kg/m²'] max]]</f>
        <v>#REF!</v>
      </c>
      <c r="AP90" s="37">
        <f>_xlfn.XLOOKUP(Baukon[[#This Row],[LCA Datensatz]],LeitRess_Materialien[Material_UUID],LeitRess_Materialien[WDP '[m³ weighted water/kg']])*Baukon[[#This Row],[Masse '[kg/m²'] Referenz]]</f>
        <v>1.6344059088558105</v>
      </c>
      <c r="AQ90" s="37">
        <f>_xlfn.XLOOKUP(Baukon[[#This Row],[LCA Datensatz]],LeitRess_Materialien[Material_UUID],LeitRess_Materialien[WDP '[m³ weighted water/kg']])*Baukon[[#This Row],[Masse '[kg/m²'] min]]</f>
        <v>1.6344059088558105</v>
      </c>
      <c r="AR90" s="37">
        <f>_xlfn.XLOOKUP(Baukon[[#This Row],[LCA Datensatz]],LeitRess_Materialien[Material_UUID],LeitRess_Materialien[WDP '[m³ weighted water/kg']])*Baukon[[#This Row],[Masse '[kg/m²'] max]]</f>
        <v>1.6344059088558105</v>
      </c>
      <c r="AS90" s="39">
        <f>Baukon[[#This Row],[GWP '[kg CO2-Äqu./m²'] Referenz]]/'Ausgabe Tabellen'!$C$21+Baukon[[#This Row],[PENRT '[MJ/m²'] Referenz]]/'Ausgabe Tabellen'!$C$22+Baukon[[#This Row],[RMI '[kg Primärrohstoffe/m²'] Referenz]]/'Ausgabe Tabellen'!$C$23+Baukon[[#This Row],[WDP '[m² weighted water/m²'] Referenz]]/'Ausgabe Tabellen'!$C$24</f>
        <v>4.7439787796393082E-3</v>
      </c>
      <c r="AT90" s="39">
        <f>Baukon[[#This Row],[GWP '[kg CO2-Äqu./m²'] min]]/'Ausgabe Tabellen'!$C$21+Baukon[[#This Row],[PENRT '[MJ/m²'] min]]/'Ausgabe Tabellen'!$C$22+Baukon[[#This Row],[RMI '[kg Primärrohstoffe/m²'] min]]/'Ausgabe Tabellen'!$C$23+Baukon[[#This Row],[WDP '[m² weighted water/m²'] min]]/'Ausgabe Tabellen'!$C$24</f>
        <v>4.7439787796393082E-3</v>
      </c>
      <c r="AU90" s="39">
        <f>Baukon[[#This Row],[GWP '[kg CO2-Äqu./m²'] max]]/'Ausgabe Tabellen'!$C$21+Baukon[[#This Row],[PENRT '[MJ/m²'] max]]/'Ausgabe Tabellen'!$C$22+Baukon[[#This Row],[RMI '[kg Primärrohstoffe/m²'] max]]/'Ausgabe Tabellen'!$C$23+Baukon[[#This Row],[WDP '[m² weighted water/m²'] max]]/'Ausgabe Tabellen'!$C$24</f>
        <v>4.7439787796393082E-3</v>
      </c>
    </row>
    <row r="91" spans="1:16296" ht="15.75" x14ac:dyDescent="0.5">
      <c r="A91" s="41" t="s">
        <v>87</v>
      </c>
      <c r="B91" s="41" t="s">
        <v>292</v>
      </c>
      <c r="C91" s="41">
        <v>9</v>
      </c>
      <c r="D91" s="41" t="s">
        <v>42</v>
      </c>
      <c r="E91" s="42" t="s">
        <v>105</v>
      </c>
      <c r="F91" s="42" t="s">
        <v>292</v>
      </c>
      <c r="G91" s="41" t="s">
        <v>272</v>
      </c>
      <c r="H91" s="41" t="s">
        <v>228</v>
      </c>
      <c r="I91" s="41">
        <v>100</v>
      </c>
      <c r="J91" s="36">
        <f>IF(Baukon[[#This Row],[Material ist Dämmstoff?]]="ja",Baukon[[#This Row],[Dicke '[mm'] Referenz]]+_xlfn.XLOOKUP(RIGHT(Baukon[[#Headers],[Dicke '[mm'] min]],3),Dämmstoffvarianten[Variante],Dämmstoffvarianten[Differenz Dämmstoffedicke zu Referenz '[mm']]),Baukon[[#This Row],[Dicke '[mm'] Referenz]])</f>
        <v>60</v>
      </c>
      <c r="K91" s="36">
        <f>IF(Baukon[[#This Row],[Material ist Dämmstoff?]]="ja",Baukon[[#This Row],[Dicke '[mm'] Referenz]]+_xlfn.XLOOKUP(RIGHT(Baukon[[#Headers],[Dicke '[mm'] max]],3),Dämmstoffvarianten[Variante],Dämmstoffvarianten[Differenz Dämmstoffedicke zu Referenz '[mm']]),Baukon[[#This Row],[Dicke '[mm'] Referenz]])</f>
        <v>180</v>
      </c>
      <c r="L91" s="43">
        <v>1</v>
      </c>
      <c r="M91" s="41"/>
      <c r="N91" s="103">
        <f>IFERROR(Baukon[[#This Row],[Dicke '[mm'] Referenz]]/1000*Baukon[[#This Row],[Flächenanteil '[%']]],"")</f>
        <v>0.1</v>
      </c>
      <c r="O91" s="103">
        <f>IFERROR(Baukon[[#This Row],[Dicke '[mm'] min]]/1000*Baukon[[#This Row],[Flächenanteil '[%']]],"")</f>
        <v>0.06</v>
      </c>
      <c r="P91" s="103">
        <f>IFERROR(Baukon[[#This Row],[Dicke '[mm'] max]]/1000*Baukon[[#This Row],[Flächenanteil '[%']]],"")</f>
        <v>0.18</v>
      </c>
      <c r="Q91"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15.076000000000001</v>
      </c>
      <c r="R91"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9.0455999999999985</v>
      </c>
      <c r="S91"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27.136799999999997</v>
      </c>
      <c r="T91" s="42"/>
      <c r="U91" s="103" t="str">
        <f>_xlfn.XLOOKUP(Baukon[[#This Row],[Material]],LeitRess_Materialien[Name],LeitRess_Materialien[Material_UUID])</f>
        <v>51a420d8-6366-4e14-83db-ecfe0721774d</v>
      </c>
      <c r="V91" s="42">
        <f>_xlfn.XLOOKUP(Baukon[[#This Row],[LCA Datensatz]],LeitRess_Materialien[Material_UUID],LeitRess_Materialien[Rohdichte_'[kg/m3']])</f>
        <v>150.76</v>
      </c>
      <c r="W91" s="42">
        <f>_xlfn.XLOOKUP(Baukon[[#This Row],[LCA Datensatz]],LeitRess_Materialien[Material_UUID],LeitRess_Materialien[Flächengewicht_'[kg/m2']])</f>
        <v>0</v>
      </c>
      <c r="X91" s="104">
        <f>_xlfn.XLOOKUP(Baukon[[#This Row],[LCA Datensatz]],LeitRess_Materialien[Material_UUID],LeitRess_Materialien[Längengewicht_'[kg/m']])</f>
        <v>0</v>
      </c>
      <c r="Y91" s="104">
        <f>_xlfn.XLOOKUP(Baukon[[#This Row],[LCA Datensatz]],LeitRess_Materialien[Material_UUID],LeitRess_Materialien[lambda_'[W/mK']])</f>
        <v>3.2000000000000001E-2</v>
      </c>
      <c r="Z91" s="103">
        <f>IFERROR(Baukon[[#This Row],[Dicke '[mm'] Referenz]]/Baukon[[#This Row],[lambda_'[W/mK']]],"")</f>
        <v>3125</v>
      </c>
      <c r="AA91" s="37">
        <f>_xlfn.XLOOKUP(Baukon[[#This Row],[LCA Datensatz]],LeitRess_Materialien[Material_UUID],LeitRess_Materialien[RMI '[kg Primärrohstoffe / kg']])*Baukon[[#This Row],[Masse '[kg/m²'] Referenz]]</f>
        <v>23.512651467235422</v>
      </c>
      <c r="AB91" s="37">
        <f>_xlfn.XLOOKUP(Baukon[[#This Row],[LCA Datensatz]],LeitRess_Materialien[Material_UUID],LeitRess_Materialien[RMI '[kg Primärrohstoffe / kg']])*Baukon[[#This Row],[Masse '[kg/m²'] min]]</f>
        <v>14.107590880341251</v>
      </c>
      <c r="AC91" s="37">
        <f>_xlfn.XLOOKUP(Baukon[[#This Row],[LCA Datensatz]],LeitRess_Materialien[Material_UUID],LeitRess_Materialien[RMI '[kg Primärrohstoffe / kg']])*Baukon[[#This Row],[Masse '[kg/m²'] max]]</f>
        <v>42.322772641023754</v>
      </c>
      <c r="AD91" s="37">
        <f>_xlfn.XLOOKUP(Baukon[[#This Row],[LCA Datensatz]],LeitRess_Materialien[Material_UUID],LeitRess_Materialien[TMR '[kg Gesamtmaterialaufwand/kg']])*Baukon[[#This Row],[Masse '[kg/m²'] Referenz]]</f>
        <v>28.26607488877908</v>
      </c>
      <c r="AE91" s="37">
        <f>_xlfn.XLOOKUP(Baukon[[#This Row],[LCA Datensatz]],LeitRess_Materialien[Material_UUID],LeitRess_Materialien[TMR '[kg Gesamtmaterialaufwand/kg']])*Baukon[[#This Row],[Masse '[kg/m²'] min]]</f>
        <v>16.959644933267445</v>
      </c>
      <c r="AF91" s="37">
        <f>_xlfn.XLOOKUP(Baukon[[#This Row],[LCA Datensatz]],LeitRess_Materialien[Material_UUID],LeitRess_Materialien[TMR '[kg Gesamtmaterialaufwand/kg']])*Baukon[[#This Row],[Masse '[kg/m²'] max]]</f>
        <v>50.878934799802337</v>
      </c>
      <c r="AG91" s="37">
        <f>_xlfn.XLOOKUP(Baukon[[#This Row],[LCA Datensatz]],LeitRess_Materialien[Material_UUID],LeitRess_Materialien[GWP '[kg CO2-Äqu./kg']])*Baukon[[#This Row],[Masse '[kg/m²'] Referenz]]</f>
        <v>14.146175022578422</v>
      </c>
      <c r="AH91" s="37">
        <f>_xlfn.XLOOKUP(Baukon[[#This Row],[LCA Datensatz]],LeitRess_Materialien[Material_UUID],LeitRess_Materialien[GWP '[kg CO2-Äqu./kg']])*Baukon[[#This Row],[Masse '[kg/m²'] min]]</f>
        <v>8.4877050135470515</v>
      </c>
      <c r="AI91" s="37">
        <f>_xlfn.XLOOKUP(Baukon[[#This Row],[LCA Datensatz]],LeitRess_Materialien[Material_UUID],LeitRess_Materialien[GWP '[kg CO2-Äqu./kg']])*Baukon[[#This Row],[Masse '[kg/m²'] max]]</f>
        <v>25.463115040641156</v>
      </c>
      <c r="AJ91" s="37">
        <f>_xlfn.XLOOKUP(Baukon[[#This Row],[LCA Datensatz]],LeitRess_Materialien[Material_UUID],LeitRess_Materialien[PENRT '[MJ/kg']])*Baukon[[#This Row],[Masse '[kg/m²'] Referenz]]</f>
        <v>240.70321784345492</v>
      </c>
      <c r="AK91" s="37">
        <f>_xlfn.XLOOKUP(Baukon[[#This Row],[LCA Datensatz]],LeitRess_Materialien[Material_UUID],LeitRess_Materialien[PENRT '[MJ/kg']])*Baukon[[#This Row],[Masse '[kg/m²'] min]]</f>
        <v>144.42193070607291</v>
      </c>
      <c r="AL91" s="37">
        <f>_xlfn.XLOOKUP(Baukon[[#This Row],[LCA Datensatz]],LeitRess_Materialien[Material_UUID],LeitRess_Materialien[PENRT '[MJ/kg']])*Baukon[[#This Row],[Masse '[kg/m²'] max]]</f>
        <v>433.26579211821883</v>
      </c>
      <c r="AM91" s="37" t="e">
        <f>_xlfn.XLOOKUP(Baukon[[#This Row],[LCA Datensatz]],LeitRess_Materialien[Material_UUID],#REF!)*Baukon[[#This Row],[Masse '[kg/m²'] Referenz]]</f>
        <v>#REF!</v>
      </c>
      <c r="AN91" s="37" t="e">
        <f>_xlfn.XLOOKUP(Baukon[[#This Row],[LCA Datensatz]],LeitRess_Materialien[Material_UUID],#REF!)*Baukon[[#This Row],[Masse '[kg/m²'] min]]</f>
        <v>#REF!</v>
      </c>
      <c r="AO91" s="37" t="e">
        <f>_xlfn.XLOOKUP(Baukon[[#This Row],[LCA Datensatz]],LeitRess_Materialien[Material_UUID],#REF!)*Baukon[[#This Row],[Masse '[kg/m²'] max]]</f>
        <v>#REF!</v>
      </c>
      <c r="AP91" s="37">
        <f>_xlfn.XLOOKUP(Baukon[[#This Row],[LCA Datensatz]],LeitRess_Materialien[Material_UUID],LeitRess_Materialien[WDP '[m³ weighted water/kg']])*Baukon[[#This Row],[Masse '[kg/m²'] Referenz]]</f>
        <v>9.6608119269027188</v>
      </c>
      <c r="AQ91" s="37">
        <f>_xlfn.XLOOKUP(Baukon[[#This Row],[LCA Datensatz]],LeitRess_Materialien[Material_UUID],LeitRess_Materialien[WDP '[m³ weighted water/kg']])*Baukon[[#This Row],[Masse '[kg/m²'] min]]</f>
        <v>5.7964871561416302</v>
      </c>
      <c r="AR91" s="37">
        <f>_xlfn.XLOOKUP(Baukon[[#This Row],[LCA Datensatz]],LeitRess_Materialien[Material_UUID],LeitRess_Materialien[WDP '[m³ weighted water/kg']])*Baukon[[#This Row],[Masse '[kg/m²'] max]]</f>
        <v>17.389461468424891</v>
      </c>
      <c r="AS91" s="39">
        <f>Baukon[[#This Row],[GWP '[kg CO2-Äqu./m²'] Referenz]]/'Ausgabe Tabellen'!$C$21+Baukon[[#This Row],[PENRT '[MJ/m²'] Referenz]]/'Ausgabe Tabellen'!$C$22+Baukon[[#This Row],[RMI '[kg Primärrohstoffe/m²'] Referenz]]/'Ausgabe Tabellen'!$C$23+Baukon[[#This Row],[WDP '[m² weighted water/m²'] Referenz]]/'Ausgabe Tabellen'!$C$24</f>
        <v>4.5032187495099626E-3</v>
      </c>
      <c r="AT91" s="39">
        <f>Baukon[[#This Row],[GWP '[kg CO2-Äqu./m²'] min]]/'Ausgabe Tabellen'!$C$21+Baukon[[#This Row],[PENRT '[MJ/m²'] min]]/'Ausgabe Tabellen'!$C$22+Baukon[[#This Row],[RMI '[kg Primärrohstoffe/m²'] min]]/'Ausgabe Tabellen'!$C$23+Baukon[[#This Row],[WDP '[m² weighted water/m²'] min]]/'Ausgabe Tabellen'!$C$24</f>
        <v>2.7019312497059767E-3</v>
      </c>
      <c r="AU91" s="39">
        <f>Baukon[[#This Row],[GWP '[kg CO2-Äqu./m²'] max]]/'Ausgabe Tabellen'!$C$21+Baukon[[#This Row],[PENRT '[MJ/m²'] max]]/'Ausgabe Tabellen'!$C$22+Baukon[[#This Row],[RMI '[kg Primärrohstoffe/m²'] max]]/'Ausgabe Tabellen'!$C$23+Baukon[[#This Row],[WDP '[m² weighted water/m²'] max]]/'Ausgabe Tabellen'!$C$24</f>
        <v>8.1057937491179309E-3</v>
      </c>
      <c r="AV91" s="24"/>
      <c r="AW91" s="24"/>
      <c r="AX91" s="24"/>
      <c r="AY91" s="24"/>
      <c r="AZ91" s="24"/>
      <c r="BA91" s="24"/>
      <c r="BB91" s="24"/>
      <c r="BC91" s="24"/>
      <c r="BD91" s="24"/>
      <c r="BE91" s="24"/>
      <c r="BF91" s="24"/>
      <c r="BG91" s="24"/>
      <c r="BH91" s="24"/>
      <c r="BI91" s="24"/>
      <c r="BJ91" s="24"/>
      <c r="BK91" s="24"/>
      <c r="BL91" s="24"/>
      <c r="BM91" s="24"/>
      <c r="BN91" s="24"/>
      <c r="BO91" s="24"/>
      <c r="BP91" s="24"/>
      <c r="BQ91" s="24"/>
      <c r="BR91" s="24"/>
      <c r="BS91" s="24"/>
      <c r="BT91" s="24"/>
      <c r="BU91" s="24"/>
      <c r="BV91" s="24"/>
      <c r="BW91" s="24"/>
      <c r="BX91" s="24"/>
      <c r="BY91" s="24"/>
      <c r="BZ91" s="24"/>
      <c r="CA91" s="24"/>
      <c r="CB91" s="24"/>
      <c r="CC91" s="24"/>
      <c r="CD91" s="24"/>
      <c r="CE91" s="24"/>
      <c r="CF91" s="24"/>
      <c r="CG91" s="24"/>
      <c r="CH91" s="24"/>
      <c r="CI91" s="24"/>
      <c r="CJ91" s="24"/>
      <c r="CK91" s="24"/>
      <c r="CL91" s="24"/>
      <c r="CM91" s="24"/>
      <c r="CN91" s="24"/>
      <c r="CO91" s="24"/>
      <c r="CP91" s="24"/>
      <c r="CQ91" s="24"/>
      <c r="CR91" s="24"/>
      <c r="CS91" s="24"/>
      <c r="CT91" s="24"/>
      <c r="CU91" s="24"/>
      <c r="CV91" s="24"/>
      <c r="CW91" s="24"/>
      <c r="CX91" s="24"/>
      <c r="CY91" s="24"/>
      <c r="CZ91" s="24"/>
      <c r="DA91" s="24"/>
      <c r="DB91" s="24"/>
      <c r="DC91" s="24"/>
      <c r="DD91" s="24"/>
      <c r="DE91" s="24"/>
      <c r="DF91" s="24"/>
      <c r="DG91" s="24"/>
      <c r="DH91" s="24"/>
      <c r="DI91" s="24"/>
      <c r="DJ91" s="24"/>
      <c r="DK91" s="24"/>
      <c r="DL91" s="24"/>
      <c r="DM91" s="24"/>
      <c r="DN91" s="24"/>
      <c r="DO91" s="24"/>
      <c r="DP91" s="24"/>
      <c r="DQ91" s="24"/>
      <c r="DR91" s="24"/>
      <c r="DS91" s="24"/>
      <c r="DT91" s="24"/>
      <c r="DU91" s="24"/>
      <c r="DV91" s="24"/>
      <c r="DW91" s="24"/>
      <c r="DX91" s="24"/>
      <c r="DY91" s="24"/>
      <c r="DZ91" s="24"/>
      <c r="EA91" s="24"/>
      <c r="EB91" s="24"/>
      <c r="EC91" s="24"/>
      <c r="ED91" s="24"/>
      <c r="EE91" s="24"/>
      <c r="EF91" s="24"/>
      <c r="EG91" s="24"/>
      <c r="EH91" s="24"/>
      <c r="EI91" s="24"/>
      <c r="EJ91" s="24"/>
      <c r="EK91" s="24"/>
      <c r="EL91" s="24"/>
      <c r="EM91" s="24"/>
      <c r="EN91" s="24"/>
      <c r="EO91" s="24"/>
      <c r="EP91" s="24"/>
      <c r="EQ91" s="24"/>
      <c r="ER91" s="24"/>
      <c r="ES91" s="24"/>
      <c r="ET91" s="24"/>
      <c r="EU91" s="24"/>
      <c r="EV91" s="24"/>
      <c r="EW91" s="24"/>
      <c r="EX91" s="24"/>
      <c r="EY91" s="24"/>
      <c r="EZ91" s="24"/>
      <c r="FA91" s="24"/>
      <c r="FB91" s="24"/>
      <c r="FC91" s="24"/>
      <c r="FD91" s="24"/>
      <c r="FE91" s="24"/>
      <c r="FF91" s="24"/>
      <c r="FG91" s="24"/>
      <c r="FH91" s="24"/>
      <c r="FI91" s="24"/>
      <c r="FJ91" s="24"/>
      <c r="FK91" s="24"/>
      <c r="FL91" s="24"/>
      <c r="FM91" s="24"/>
      <c r="FN91" s="24"/>
      <c r="FO91" s="24"/>
      <c r="FP91" s="24"/>
      <c r="FQ91" s="24"/>
      <c r="FR91" s="24"/>
      <c r="FS91" s="24"/>
      <c r="FT91" s="24"/>
      <c r="FU91" s="24"/>
      <c r="FV91" s="24"/>
      <c r="FW91" s="24"/>
      <c r="FX91" s="24"/>
      <c r="FY91" s="24"/>
      <c r="FZ91" s="24"/>
      <c r="GA91" s="24"/>
      <c r="GB91" s="24"/>
      <c r="GC91" s="24"/>
      <c r="GD91" s="24"/>
      <c r="GE91" s="24"/>
      <c r="GF91" s="24"/>
      <c r="GG91" s="24"/>
      <c r="GH91" s="24"/>
      <c r="GI91" s="24"/>
      <c r="GJ91" s="24"/>
      <c r="GK91" s="24"/>
      <c r="GL91" s="24"/>
      <c r="GM91" s="24"/>
      <c r="GN91" s="24"/>
      <c r="GO91" s="24"/>
      <c r="GP91" s="24"/>
      <c r="GQ91" s="24"/>
      <c r="GR91" s="24"/>
      <c r="GS91" s="24"/>
      <c r="GT91" s="24"/>
      <c r="GU91" s="24"/>
      <c r="GV91" s="24"/>
      <c r="GW91" s="24"/>
      <c r="GX91" s="24"/>
      <c r="GY91" s="24"/>
      <c r="GZ91" s="24"/>
      <c r="HA91" s="24"/>
      <c r="HB91" s="24"/>
      <c r="HC91" s="24"/>
      <c r="HD91" s="24"/>
      <c r="HE91" s="24"/>
      <c r="HF91" s="24"/>
      <c r="HG91" s="24"/>
      <c r="HH91" s="24"/>
      <c r="HI91" s="24"/>
      <c r="HJ91" s="24"/>
      <c r="HK91" s="24"/>
      <c r="HL91" s="24"/>
      <c r="HM91" s="24"/>
      <c r="HN91" s="24"/>
      <c r="HO91" s="24"/>
      <c r="HP91" s="24"/>
      <c r="HQ91" s="24"/>
      <c r="HR91" s="24"/>
      <c r="HS91" s="24"/>
      <c r="HT91" s="24"/>
      <c r="HU91" s="24"/>
      <c r="HV91" s="24"/>
      <c r="HW91" s="24"/>
      <c r="HX91" s="24"/>
      <c r="HY91" s="24"/>
      <c r="HZ91" s="24"/>
      <c r="IA91" s="24"/>
      <c r="IB91" s="24"/>
      <c r="IC91" s="24"/>
      <c r="ID91" s="24"/>
      <c r="IE91" s="24"/>
      <c r="IF91" s="24"/>
      <c r="IG91" s="24"/>
      <c r="IH91" s="24"/>
      <c r="II91" s="24"/>
      <c r="IJ91" s="24"/>
      <c r="IK91" s="24"/>
      <c r="IL91" s="24"/>
      <c r="IM91" s="24"/>
      <c r="IN91" s="24"/>
      <c r="IO91" s="24"/>
      <c r="IP91" s="24"/>
      <c r="IQ91" s="24"/>
      <c r="IR91" s="24"/>
      <c r="IS91" s="24"/>
      <c r="IT91" s="24"/>
      <c r="IU91" s="24"/>
      <c r="IV91" s="24"/>
      <c r="IW91" s="24"/>
      <c r="IX91" s="24"/>
      <c r="IY91" s="24"/>
      <c r="IZ91" s="24"/>
      <c r="JA91" s="24"/>
      <c r="JB91" s="24"/>
      <c r="JC91" s="24"/>
      <c r="JD91" s="24"/>
      <c r="JE91" s="24"/>
      <c r="JF91" s="24"/>
      <c r="JG91" s="24"/>
      <c r="JH91" s="24"/>
      <c r="JI91" s="24"/>
      <c r="JJ91" s="24"/>
      <c r="JK91" s="24"/>
      <c r="JL91" s="24"/>
      <c r="JM91" s="24"/>
      <c r="JN91" s="24"/>
      <c r="JO91" s="24"/>
      <c r="JP91" s="24"/>
      <c r="JQ91" s="24"/>
      <c r="JR91" s="24"/>
      <c r="JS91" s="24"/>
      <c r="JT91" s="24"/>
      <c r="JU91" s="24"/>
      <c r="JV91" s="24"/>
      <c r="JW91" s="24"/>
      <c r="JX91" s="24"/>
      <c r="JY91" s="24"/>
      <c r="JZ91" s="24"/>
      <c r="KA91" s="24"/>
      <c r="KB91" s="24"/>
      <c r="KC91" s="24"/>
      <c r="KD91" s="24"/>
      <c r="KE91" s="24"/>
      <c r="KF91" s="24"/>
      <c r="KG91" s="24"/>
      <c r="KH91" s="24"/>
      <c r="KI91" s="24"/>
      <c r="KJ91" s="24"/>
      <c r="KK91" s="24"/>
      <c r="KL91" s="24"/>
      <c r="KM91" s="24"/>
      <c r="KN91" s="24"/>
      <c r="KO91" s="24"/>
      <c r="KP91" s="24"/>
      <c r="KQ91" s="24"/>
      <c r="KR91" s="24"/>
      <c r="KS91" s="24"/>
      <c r="KT91" s="24"/>
      <c r="KU91" s="24"/>
      <c r="KV91" s="24"/>
      <c r="KW91" s="24"/>
      <c r="KX91" s="24"/>
      <c r="KY91" s="24"/>
      <c r="KZ91" s="24"/>
      <c r="LA91" s="24"/>
      <c r="LB91" s="24"/>
      <c r="LC91" s="24"/>
      <c r="LD91" s="24"/>
      <c r="LE91" s="24"/>
      <c r="LF91" s="24"/>
      <c r="LG91" s="24"/>
      <c r="LH91" s="24"/>
      <c r="LI91" s="24"/>
      <c r="LJ91" s="24"/>
      <c r="LK91" s="24"/>
      <c r="LL91" s="24"/>
      <c r="LM91" s="24"/>
      <c r="LN91" s="24"/>
      <c r="LO91" s="24"/>
      <c r="LP91" s="24"/>
      <c r="LQ91" s="24"/>
      <c r="LR91" s="24"/>
      <c r="LS91" s="24"/>
      <c r="LT91" s="24"/>
      <c r="LU91" s="24"/>
      <c r="LV91" s="24"/>
      <c r="LW91" s="24"/>
      <c r="LX91" s="24"/>
      <c r="LY91" s="24"/>
      <c r="LZ91" s="24"/>
      <c r="MA91" s="24"/>
      <c r="MB91" s="24"/>
      <c r="MC91" s="24"/>
      <c r="MD91" s="24"/>
      <c r="ME91" s="24"/>
      <c r="MF91" s="24"/>
      <c r="MG91" s="24"/>
      <c r="MH91" s="24"/>
      <c r="MI91" s="24"/>
      <c r="MJ91" s="24"/>
      <c r="MK91" s="24"/>
      <c r="ML91" s="24"/>
      <c r="MM91" s="24"/>
      <c r="MN91" s="24"/>
      <c r="MO91" s="24"/>
      <c r="MP91" s="24"/>
      <c r="MQ91" s="24"/>
      <c r="MR91" s="24"/>
      <c r="MS91" s="24"/>
      <c r="MT91" s="24"/>
      <c r="MU91" s="24"/>
      <c r="MV91" s="24"/>
      <c r="MW91" s="24"/>
      <c r="MX91" s="24"/>
      <c r="MY91" s="24"/>
      <c r="MZ91" s="24"/>
      <c r="NA91" s="24"/>
      <c r="NB91" s="24"/>
      <c r="NC91" s="24"/>
      <c r="ND91" s="24"/>
      <c r="NE91" s="24"/>
      <c r="NF91" s="24"/>
      <c r="NG91" s="24"/>
      <c r="NH91" s="24"/>
      <c r="NI91" s="24"/>
      <c r="NJ91" s="24"/>
      <c r="NK91" s="24"/>
      <c r="NL91" s="24"/>
      <c r="NM91" s="24"/>
      <c r="NN91" s="24"/>
      <c r="NO91" s="24"/>
      <c r="NP91" s="24"/>
      <c r="NQ91" s="24"/>
      <c r="NR91" s="24"/>
      <c r="NS91" s="24"/>
      <c r="NT91" s="24"/>
      <c r="NU91" s="24"/>
      <c r="NV91" s="24"/>
      <c r="NW91" s="24"/>
      <c r="NX91" s="24"/>
      <c r="NY91" s="24"/>
      <c r="NZ91" s="24"/>
      <c r="OA91" s="24"/>
      <c r="OB91" s="24"/>
      <c r="OC91" s="24"/>
      <c r="OD91" s="24"/>
      <c r="OE91" s="24"/>
      <c r="OF91" s="24"/>
      <c r="OG91" s="24"/>
      <c r="OH91" s="24"/>
      <c r="OI91" s="24"/>
      <c r="OJ91" s="24"/>
      <c r="OK91" s="24"/>
      <c r="OL91" s="24"/>
      <c r="OM91" s="24"/>
      <c r="ON91" s="24"/>
      <c r="OO91" s="24"/>
      <c r="OP91" s="24"/>
      <c r="OQ91" s="24"/>
      <c r="OR91" s="24"/>
      <c r="OS91" s="24"/>
      <c r="OT91" s="24"/>
      <c r="OU91" s="24"/>
      <c r="OV91" s="24"/>
      <c r="OW91" s="24"/>
      <c r="OX91" s="24"/>
      <c r="OY91" s="24"/>
      <c r="OZ91" s="24"/>
      <c r="PA91" s="24"/>
      <c r="PB91" s="24"/>
      <c r="PC91" s="24"/>
      <c r="PD91" s="24"/>
      <c r="PE91" s="24"/>
      <c r="PF91" s="24"/>
      <c r="PG91" s="24"/>
      <c r="PH91" s="24"/>
      <c r="PI91" s="24"/>
      <c r="PJ91" s="24"/>
      <c r="PK91" s="24"/>
      <c r="PL91" s="24"/>
      <c r="PM91" s="24"/>
      <c r="PN91" s="24"/>
      <c r="PO91" s="24"/>
      <c r="PP91" s="24"/>
      <c r="PQ91" s="24"/>
      <c r="PR91" s="24"/>
      <c r="PS91" s="24"/>
      <c r="PT91" s="24"/>
      <c r="PU91" s="24"/>
      <c r="PV91" s="24"/>
      <c r="PW91" s="24"/>
      <c r="PX91" s="24"/>
      <c r="PY91" s="24"/>
      <c r="PZ91" s="24"/>
      <c r="QA91" s="24"/>
      <c r="QB91" s="24"/>
      <c r="QC91" s="24"/>
      <c r="QD91" s="24"/>
      <c r="QE91" s="24"/>
      <c r="QF91" s="24"/>
      <c r="QG91" s="24"/>
      <c r="QH91" s="24"/>
      <c r="QI91" s="24"/>
      <c r="QJ91" s="24"/>
      <c r="QK91" s="24"/>
      <c r="QL91" s="24"/>
      <c r="QM91" s="24"/>
      <c r="QN91" s="24"/>
      <c r="QO91" s="24"/>
      <c r="QP91" s="24"/>
      <c r="QQ91" s="24"/>
      <c r="QR91" s="24"/>
      <c r="QS91" s="24"/>
      <c r="QT91" s="24"/>
      <c r="QU91" s="24"/>
      <c r="QV91" s="24"/>
      <c r="QW91" s="24"/>
      <c r="QX91" s="24"/>
      <c r="QY91" s="24"/>
      <c r="QZ91" s="24"/>
      <c r="RA91" s="24"/>
      <c r="RB91" s="24"/>
      <c r="RC91" s="24"/>
      <c r="RD91" s="24"/>
      <c r="RE91" s="24"/>
      <c r="RF91" s="24"/>
      <c r="RG91" s="24"/>
      <c r="RH91" s="24"/>
      <c r="RI91" s="24"/>
      <c r="RJ91" s="24"/>
      <c r="RK91" s="24"/>
      <c r="RL91" s="24"/>
      <c r="RM91" s="24"/>
      <c r="RN91" s="24"/>
      <c r="RO91" s="24"/>
      <c r="RP91" s="24"/>
      <c r="RQ91" s="24"/>
      <c r="RR91" s="24"/>
      <c r="RS91" s="24"/>
      <c r="RT91" s="24"/>
      <c r="RU91" s="24"/>
      <c r="RV91" s="24"/>
      <c r="RW91" s="24"/>
      <c r="RX91" s="24"/>
      <c r="RY91" s="24"/>
      <c r="RZ91" s="24"/>
      <c r="SA91" s="24"/>
      <c r="SB91" s="24"/>
      <c r="SC91" s="24"/>
      <c r="SD91" s="24"/>
      <c r="SE91" s="24"/>
      <c r="SF91" s="24"/>
      <c r="SG91" s="24"/>
      <c r="SH91" s="24"/>
      <c r="SI91" s="24"/>
      <c r="SJ91" s="24"/>
      <c r="SK91" s="24"/>
      <c r="SL91" s="24"/>
      <c r="SM91" s="24"/>
      <c r="SN91" s="24"/>
      <c r="SO91" s="24"/>
      <c r="SP91" s="24"/>
      <c r="SQ91" s="24"/>
      <c r="SR91" s="24"/>
      <c r="SS91" s="24"/>
      <c r="ST91" s="24"/>
      <c r="SU91" s="24"/>
      <c r="SV91" s="24"/>
      <c r="SW91" s="24"/>
      <c r="SX91" s="24"/>
      <c r="SY91" s="24"/>
      <c r="SZ91" s="24"/>
      <c r="TA91" s="24"/>
      <c r="TB91" s="24"/>
      <c r="TC91" s="24"/>
      <c r="TD91" s="24"/>
      <c r="TE91" s="24"/>
      <c r="TF91" s="24"/>
      <c r="TG91" s="24"/>
      <c r="TH91" s="24"/>
      <c r="TI91" s="24"/>
      <c r="TJ91" s="24"/>
      <c r="TK91" s="24"/>
      <c r="TL91" s="24"/>
      <c r="TM91" s="24"/>
      <c r="TN91" s="24"/>
      <c r="TO91" s="24"/>
      <c r="TP91" s="24"/>
      <c r="TQ91" s="24"/>
      <c r="TR91" s="24"/>
      <c r="TS91" s="24"/>
      <c r="TT91" s="24"/>
      <c r="TU91" s="24"/>
      <c r="TV91" s="24"/>
      <c r="TW91" s="24"/>
      <c r="TX91" s="24"/>
      <c r="TY91" s="24"/>
      <c r="TZ91" s="24"/>
      <c r="UA91" s="24"/>
      <c r="UB91" s="24"/>
      <c r="UC91" s="24"/>
      <c r="UD91" s="24"/>
      <c r="UE91" s="24"/>
      <c r="UF91" s="24"/>
      <c r="UG91" s="24"/>
      <c r="UH91" s="24"/>
      <c r="UI91" s="24"/>
      <c r="UJ91" s="24"/>
      <c r="UK91" s="24"/>
      <c r="UL91" s="24"/>
      <c r="UM91" s="24"/>
      <c r="UN91" s="24"/>
      <c r="UO91" s="24"/>
      <c r="UP91" s="24"/>
      <c r="UQ91" s="24"/>
      <c r="UR91" s="24"/>
      <c r="US91" s="24"/>
      <c r="UT91" s="24"/>
      <c r="UU91" s="24"/>
      <c r="UV91" s="24"/>
      <c r="UW91" s="24"/>
      <c r="UX91" s="24"/>
      <c r="UY91" s="24"/>
      <c r="UZ91" s="24"/>
      <c r="VA91" s="24"/>
      <c r="VB91" s="24"/>
      <c r="VC91" s="24"/>
      <c r="VD91" s="24"/>
      <c r="VE91" s="24"/>
      <c r="VF91" s="24"/>
      <c r="VG91" s="24"/>
      <c r="VH91" s="24"/>
      <c r="VI91" s="24"/>
      <c r="VJ91" s="24"/>
      <c r="VK91" s="24"/>
      <c r="VL91" s="24"/>
      <c r="VM91" s="24"/>
      <c r="VN91" s="24"/>
      <c r="VO91" s="24"/>
      <c r="VP91" s="24"/>
      <c r="VQ91" s="24"/>
      <c r="VR91" s="24"/>
      <c r="VS91" s="24"/>
      <c r="VT91" s="24"/>
      <c r="VU91" s="24"/>
      <c r="VV91" s="24"/>
      <c r="VW91" s="24"/>
      <c r="VX91" s="24"/>
      <c r="VY91" s="24"/>
      <c r="VZ91" s="24"/>
      <c r="WA91" s="24"/>
      <c r="WB91" s="24"/>
      <c r="WC91" s="24"/>
      <c r="WD91" s="24"/>
      <c r="WE91" s="24"/>
      <c r="WF91" s="24"/>
      <c r="WG91" s="24"/>
      <c r="WH91" s="24"/>
      <c r="WI91" s="24"/>
      <c r="WJ91" s="24"/>
      <c r="WK91" s="24"/>
      <c r="WL91" s="24"/>
      <c r="WM91" s="24"/>
      <c r="WN91" s="24"/>
      <c r="WO91" s="24"/>
      <c r="WP91" s="24"/>
      <c r="WQ91" s="24"/>
      <c r="WR91" s="24"/>
      <c r="WS91" s="24"/>
      <c r="WT91" s="24"/>
      <c r="WU91" s="24"/>
      <c r="WV91" s="24"/>
      <c r="WW91" s="24"/>
      <c r="WX91" s="24"/>
      <c r="WY91" s="24"/>
      <c r="WZ91" s="24"/>
      <c r="XA91" s="24"/>
      <c r="XB91" s="24"/>
      <c r="XC91" s="24"/>
      <c r="XD91" s="24"/>
      <c r="XE91" s="24"/>
      <c r="XF91" s="24"/>
      <c r="XG91" s="24"/>
      <c r="XH91" s="24"/>
      <c r="XI91" s="24"/>
      <c r="XJ91" s="24"/>
      <c r="XK91" s="24"/>
      <c r="XL91" s="24"/>
      <c r="XM91" s="24"/>
      <c r="XN91" s="24"/>
      <c r="XO91" s="24"/>
      <c r="XP91" s="24"/>
      <c r="XQ91" s="24"/>
      <c r="XR91" s="24"/>
      <c r="XS91" s="24"/>
      <c r="XT91" s="24"/>
      <c r="XU91" s="24"/>
      <c r="XV91" s="24"/>
      <c r="XW91" s="24"/>
      <c r="XX91" s="24"/>
      <c r="XY91" s="24"/>
      <c r="XZ91" s="24"/>
      <c r="YA91" s="24"/>
      <c r="YB91" s="24"/>
      <c r="YC91" s="24"/>
      <c r="YD91" s="24"/>
      <c r="YE91" s="24"/>
      <c r="YF91" s="24"/>
      <c r="YG91" s="24"/>
      <c r="YH91" s="24"/>
      <c r="YI91" s="24"/>
      <c r="YJ91" s="24"/>
      <c r="YK91" s="24"/>
      <c r="YL91" s="24"/>
      <c r="YM91" s="24"/>
      <c r="YN91" s="24"/>
      <c r="YO91" s="24"/>
      <c r="YP91" s="24"/>
      <c r="YQ91" s="24"/>
      <c r="YR91" s="24"/>
      <c r="YS91" s="24"/>
      <c r="YT91" s="24"/>
      <c r="YU91" s="24"/>
      <c r="YV91" s="24"/>
      <c r="YW91" s="24"/>
      <c r="YX91" s="24"/>
      <c r="YY91" s="24"/>
      <c r="YZ91" s="24"/>
      <c r="ZA91" s="24"/>
      <c r="ZB91" s="24"/>
      <c r="ZC91" s="24"/>
      <c r="ZD91" s="24"/>
      <c r="ZE91" s="24"/>
      <c r="ZF91" s="24"/>
      <c r="ZG91" s="24"/>
      <c r="ZH91" s="24"/>
      <c r="ZI91" s="24"/>
      <c r="ZJ91" s="24"/>
      <c r="ZK91" s="24"/>
      <c r="ZL91" s="24"/>
      <c r="ZM91" s="24"/>
      <c r="ZN91" s="24"/>
      <c r="ZO91" s="24"/>
      <c r="ZP91" s="24"/>
      <c r="ZQ91" s="24"/>
      <c r="ZR91" s="24"/>
      <c r="ZS91" s="24"/>
      <c r="ZT91" s="24"/>
      <c r="ZU91" s="24"/>
      <c r="ZV91" s="24"/>
      <c r="ZW91" s="24"/>
      <c r="ZX91" s="24"/>
      <c r="ZY91" s="24"/>
      <c r="ZZ91" s="24"/>
      <c r="AAA91" s="24"/>
      <c r="AAB91" s="24"/>
      <c r="AAC91" s="24"/>
      <c r="AAD91" s="24"/>
      <c r="AAE91" s="24"/>
      <c r="AAF91" s="24"/>
      <c r="AAG91" s="24"/>
      <c r="AAH91" s="24"/>
      <c r="AAI91" s="24"/>
      <c r="AAJ91" s="24"/>
      <c r="AAK91" s="24"/>
      <c r="AAL91" s="24"/>
      <c r="AAM91" s="24"/>
      <c r="AAN91" s="24"/>
      <c r="AAO91" s="24"/>
      <c r="AAP91" s="24"/>
      <c r="AAQ91" s="24"/>
      <c r="AAR91" s="24"/>
      <c r="AAS91" s="24"/>
      <c r="AAT91" s="24"/>
      <c r="AAU91" s="24"/>
      <c r="AAV91" s="24"/>
      <c r="AAW91" s="24"/>
      <c r="AAX91" s="24"/>
      <c r="AAY91" s="24"/>
      <c r="AAZ91" s="24"/>
      <c r="ABA91" s="24"/>
      <c r="ABB91" s="24"/>
      <c r="ABC91" s="24"/>
      <c r="ABD91" s="24"/>
      <c r="ABE91" s="24"/>
      <c r="ABF91" s="24"/>
      <c r="ABG91" s="24"/>
      <c r="ABH91" s="24"/>
      <c r="ABI91" s="24"/>
      <c r="ABJ91" s="24"/>
      <c r="ABK91" s="24"/>
      <c r="ABL91" s="24"/>
      <c r="ABM91" s="24"/>
      <c r="ABN91" s="24"/>
      <c r="ABO91" s="24"/>
      <c r="ABP91" s="24"/>
      <c r="ABQ91" s="24"/>
      <c r="ABR91" s="24"/>
      <c r="ABS91" s="24"/>
      <c r="ABT91" s="24"/>
      <c r="ABU91" s="24"/>
      <c r="ABV91" s="24"/>
      <c r="ABW91" s="24"/>
      <c r="ABX91" s="24"/>
      <c r="ABY91" s="24"/>
      <c r="ABZ91" s="24"/>
      <c r="ACA91" s="24"/>
      <c r="ACB91" s="24"/>
      <c r="ACC91" s="24"/>
      <c r="ACD91" s="24"/>
      <c r="ACE91" s="24"/>
      <c r="ACF91" s="24"/>
      <c r="ACG91" s="24"/>
      <c r="ACH91" s="24"/>
      <c r="ACI91" s="24"/>
      <c r="ACJ91" s="24"/>
      <c r="ACK91" s="24"/>
      <c r="ACL91" s="24"/>
      <c r="ACM91" s="24"/>
      <c r="ACN91" s="24"/>
      <c r="ACO91" s="24"/>
      <c r="ACP91" s="24"/>
      <c r="ACQ91" s="24"/>
      <c r="ACR91" s="24"/>
      <c r="ACS91" s="24"/>
      <c r="ACT91" s="24"/>
      <c r="ACU91" s="24"/>
      <c r="ACV91" s="24"/>
      <c r="ACW91" s="24"/>
      <c r="ACX91" s="24"/>
      <c r="ACY91" s="24"/>
      <c r="ACZ91" s="24"/>
      <c r="ADA91" s="24"/>
      <c r="ADB91" s="24"/>
      <c r="ADC91" s="24"/>
      <c r="ADD91" s="24"/>
      <c r="ADE91" s="24"/>
      <c r="ADF91" s="24"/>
      <c r="ADG91" s="24"/>
      <c r="ADH91" s="24"/>
      <c r="ADI91" s="24"/>
      <c r="ADJ91" s="24"/>
      <c r="ADK91" s="24"/>
      <c r="ADL91" s="24"/>
      <c r="ADM91" s="24"/>
      <c r="ADN91" s="24"/>
      <c r="ADO91" s="24"/>
      <c r="ADP91" s="24"/>
      <c r="ADQ91" s="24"/>
      <c r="ADR91" s="24"/>
      <c r="ADS91" s="24"/>
      <c r="ADT91" s="24"/>
      <c r="ADU91" s="24"/>
      <c r="ADV91" s="24"/>
      <c r="ADW91" s="24"/>
      <c r="ADX91" s="24"/>
      <c r="ADY91" s="24"/>
      <c r="ADZ91" s="24"/>
      <c r="AEA91" s="24"/>
      <c r="AEB91" s="24"/>
      <c r="AEC91" s="24"/>
      <c r="AED91" s="24"/>
      <c r="AEE91" s="24"/>
      <c r="AEF91" s="24"/>
      <c r="AEG91" s="24"/>
      <c r="AEH91" s="24"/>
      <c r="AEI91" s="24"/>
      <c r="AEJ91" s="24"/>
      <c r="AEK91" s="24"/>
      <c r="AEL91" s="24"/>
      <c r="AEM91" s="24"/>
      <c r="AEN91" s="24"/>
      <c r="AEO91" s="24"/>
      <c r="AEP91" s="24"/>
      <c r="AEQ91" s="24"/>
      <c r="AER91" s="24"/>
      <c r="AES91" s="24"/>
      <c r="AET91" s="24"/>
      <c r="AEU91" s="24"/>
      <c r="AEV91" s="24"/>
      <c r="AEW91" s="24"/>
      <c r="AEX91" s="24"/>
      <c r="AEY91" s="24"/>
      <c r="AEZ91" s="24"/>
      <c r="AFA91" s="24"/>
      <c r="AFB91" s="24"/>
      <c r="AFC91" s="24"/>
      <c r="AFD91" s="24"/>
      <c r="AFE91" s="24"/>
      <c r="AFF91" s="24"/>
      <c r="AFG91" s="24"/>
      <c r="AFH91" s="24"/>
      <c r="AFI91" s="24"/>
      <c r="AFJ91" s="24"/>
      <c r="AFK91" s="24"/>
      <c r="AFL91" s="24"/>
      <c r="AFM91" s="24"/>
      <c r="AFN91" s="24"/>
      <c r="AFO91" s="24"/>
      <c r="AFP91" s="24"/>
      <c r="AFQ91" s="24"/>
      <c r="AFR91" s="24"/>
      <c r="AFS91" s="24"/>
      <c r="AFT91" s="24"/>
      <c r="AFU91" s="24"/>
      <c r="AFV91" s="24"/>
      <c r="AFW91" s="24"/>
      <c r="AFX91" s="24"/>
      <c r="AFY91" s="24"/>
      <c r="AFZ91" s="24"/>
      <c r="AGA91" s="24"/>
      <c r="AGB91" s="24"/>
      <c r="AGC91" s="24"/>
      <c r="AGD91" s="24"/>
      <c r="AGE91" s="24"/>
      <c r="AGF91" s="24"/>
      <c r="AGG91" s="24"/>
      <c r="AGH91" s="24"/>
      <c r="AGI91" s="24"/>
      <c r="AGJ91" s="24"/>
      <c r="AGK91" s="24"/>
      <c r="AGL91" s="24"/>
      <c r="AGM91" s="24"/>
      <c r="AGN91" s="24"/>
      <c r="AGO91" s="24"/>
      <c r="AGP91" s="24"/>
      <c r="AGQ91" s="24"/>
      <c r="AGR91" s="24"/>
      <c r="AGS91" s="24"/>
      <c r="AGT91" s="24"/>
      <c r="AGU91" s="24"/>
      <c r="AGV91" s="24"/>
      <c r="AGW91" s="24"/>
      <c r="AGX91" s="24"/>
      <c r="AGY91" s="24"/>
      <c r="AGZ91" s="24"/>
      <c r="AHA91" s="24"/>
      <c r="AHB91" s="24"/>
      <c r="AHC91" s="24"/>
      <c r="AHD91" s="24"/>
      <c r="AHE91" s="24"/>
      <c r="AHF91" s="24"/>
      <c r="AHG91" s="24"/>
      <c r="AHH91" s="24"/>
      <c r="AHI91" s="24"/>
      <c r="AHJ91" s="24"/>
      <c r="AHK91" s="24"/>
      <c r="AHL91" s="24"/>
      <c r="AHM91" s="24"/>
      <c r="AHN91" s="24"/>
      <c r="AHO91" s="24"/>
      <c r="AHP91" s="24"/>
      <c r="AHQ91" s="24"/>
      <c r="AHR91" s="24"/>
      <c r="AHS91" s="24"/>
      <c r="AHT91" s="24"/>
      <c r="AHU91" s="24"/>
      <c r="AHV91" s="24"/>
      <c r="AHW91" s="24"/>
      <c r="AHX91" s="24"/>
      <c r="AHY91" s="24"/>
      <c r="AHZ91" s="24"/>
      <c r="AIA91" s="24"/>
      <c r="AIB91" s="24"/>
      <c r="AIC91" s="24"/>
      <c r="AID91" s="24"/>
      <c r="AIE91" s="24"/>
      <c r="AIF91" s="24"/>
      <c r="AIG91" s="24"/>
      <c r="AIH91" s="24"/>
      <c r="AII91" s="24"/>
      <c r="AIJ91" s="24"/>
      <c r="AIK91" s="24"/>
      <c r="AIL91" s="24"/>
      <c r="AIM91" s="24"/>
      <c r="AIN91" s="24"/>
      <c r="AIO91" s="24"/>
      <c r="AIP91" s="24"/>
      <c r="AIQ91" s="24"/>
      <c r="AIR91" s="24"/>
      <c r="AIS91" s="24"/>
      <c r="AIT91" s="24"/>
      <c r="AIU91" s="24"/>
      <c r="AIV91" s="24"/>
      <c r="AIW91" s="24"/>
      <c r="AIX91" s="24"/>
      <c r="AIY91" s="24"/>
      <c r="AIZ91" s="24"/>
      <c r="AJA91" s="24"/>
      <c r="AJB91" s="24"/>
      <c r="AJC91" s="24"/>
      <c r="AJD91" s="24"/>
      <c r="AJE91" s="24"/>
      <c r="AJF91" s="24"/>
      <c r="AJG91" s="24"/>
      <c r="AJH91" s="24"/>
      <c r="AJI91" s="24"/>
      <c r="AJJ91" s="24"/>
      <c r="AJK91" s="24"/>
      <c r="AJL91" s="24"/>
      <c r="AJM91" s="24"/>
      <c r="AJN91" s="24"/>
      <c r="AJO91" s="24"/>
      <c r="AJP91" s="24"/>
      <c r="AJQ91" s="24"/>
      <c r="AJR91" s="24"/>
      <c r="AJS91" s="24"/>
      <c r="AJT91" s="24"/>
      <c r="AJU91" s="24"/>
      <c r="AJV91" s="24"/>
      <c r="AJW91" s="24"/>
      <c r="AJX91" s="24"/>
      <c r="AJY91" s="24"/>
      <c r="AJZ91" s="24"/>
      <c r="AKA91" s="24"/>
      <c r="AKB91" s="24"/>
      <c r="AKC91" s="24"/>
      <c r="AKD91" s="24"/>
      <c r="AKE91" s="24"/>
      <c r="AKF91" s="24"/>
      <c r="AKG91" s="24"/>
      <c r="AKH91" s="24"/>
      <c r="AKI91" s="24"/>
      <c r="AKJ91" s="24"/>
      <c r="AKK91" s="24"/>
      <c r="AKL91" s="24"/>
      <c r="AKM91" s="24"/>
      <c r="AKN91" s="24"/>
      <c r="AKO91" s="24"/>
      <c r="AKP91" s="24"/>
      <c r="AKQ91" s="24"/>
      <c r="AKR91" s="24"/>
      <c r="AKS91" s="24"/>
      <c r="AKT91" s="24"/>
      <c r="AKU91" s="24"/>
      <c r="AKV91" s="24"/>
      <c r="AKW91" s="24"/>
      <c r="AKX91" s="24"/>
      <c r="AKY91" s="24"/>
      <c r="AKZ91" s="24"/>
      <c r="ALA91" s="24"/>
      <c r="ALB91" s="24"/>
      <c r="ALC91" s="24"/>
      <c r="ALD91" s="24"/>
      <c r="ALE91" s="24"/>
      <c r="ALF91" s="24"/>
      <c r="ALG91" s="24"/>
      <c r="ALH91" s="24"/>
      <c r="ALI91" s="24"/>
      <c r="ALJ91" s="24"/>
      <c r="ALK91" s="24"/>
      <c r="ALL91" s="24"/>
      <c r="ALM91" s="24"/>
      <c r="ALN91" s="24"/>
      <c r="ALO91" s="24"/>
      <c r="ALP91" s="24"/>
      <c r="ALQ91" s="24"/>
      <c r="ALR91" s="24"/>
      <c r="ALS91" s="24"/>
      <c r="ALT91" s="24"/>
      <c r="ALU91" s="24"/>
      <c r="ALV91" s="24"/>
      <c r="ALW91" s="24"/>
      <c r="ALX91" s="24"/>
      <c r="ALY91" s="24"/>
      <c r="ALZ91" s="24"/>
      <c r="AMA91" s="24"/>
      <c r="AMB91" s="24"/>
      <c r="AMC91" s="24"/>
      <c r="AMD91" s="24"/>
      <c r="AME91" s="24"/>
      <c r="AMF91" s="24"/>
      <c r="AMG91" s="24"/>
      <c r="AMH91" s="24"/>
      <c r="AMI91" s="24"/>
      <c r="AMJ91" s="24"/>
      <c r="AMK91" s="24"/>
      <c r="AML91" s="24"/>
      <c r="AMM91" s="24"/>
      <c r="AMN91" s="24"/>
      <c r="AMO91" s="24"/>
      <c r="AMP91" s="24"/>
      <c r="AMQ91" s="24"/>
      <c r="AMR91" s="24"/>
      <c r="AMS91" s="24"/>
      <c r="AMT91" s="24"/>
      <c r="AMU91" s="24"/>
      <c r="AMV91" s="24"/>
      <c r="AMW91" s="24"/>
      <c r="AMX91" s="24"/>
      <c r="AMY91" s="24"/>
      <c r="AMZ91" s="24"/>
      <c r="ANA91" s="24"/>
      <c r="ANB91" s="24"/>
      <c r="ANC91" s="24"/>
      <c r="AND91" s="24"/>
      <c r="ANE91" s="24"/>
      <c r="ANF91" s="24"/>
      <c r="ANG91" s="24"/>
      <c r="ANH91" s="24"/>
      <c r="ANI91" s="24"/>
      <c r="ANJ91" s="24"/>
      <c r="ANK91" s="24"/>
      <c r="ANL91" s="24"/>
      <c r="ANM91" s="24"/>
      <c r="ANN91" s="24"/>
      <c r="ANO91" s="24"/>
      <c r="ANP91" s="24"/>
      <c r="ANQ91" s="24"/>
      <c r="ANR91" s="24"/>
      <c r="ANS91" s="24"/>
      <c r="ANT91" s="24"/>
      <c r="ANU91" s="24"/>
      <c r="ANV91" s="24"/>
      <c r="ANW91" s="24"/>
      <c r="ANX91" s="24"/>
      <c r="ANY91" s="24"/>
      <c r="ANZ91" s="24"/>
      <c r="AOA91" s="24"/>
      <c r="AOB91" s="24"/>
      <c r="AOC91" s="24"/>
      <c r="AOD91" s="24"/>
      <c r="AOE91" s="24"/>
      <c r="AOF91" s="24"/>
      <c r="AOG91" s="24"/>
      <c r="AOH91" s="24"/>
      <c r="AOI91" s="24"/>
      <c r="AOJ91" s="24"/>
      <c r="AOK91" s="24"/>
      <c r="AOL91" s="24"/>
      <c r="AOM91" s="24"/>
      <c r="AON91" s="24"/>
      <c r="AOO91" s="24"/>
      <c r="AOP91" s="24"/>
      <c r="AOQ91" s="24"/>
      <c r="AOR91" s="24"/>
      <c r="AOS91" s="24"/>
      <c r="AOT91" s="24"/>
      <c r="AOU91" s="24"/>
      <c r="AOV91" s="24"/>
      <c r="AOW91" s="24"/>
      <c r="AOX91" s="24"/>
      <c r="AOY91" s="24"/>
      <c r="AOZ91" s="24"/>
      <c r="APA91" s="24"/>
      <c r="APB91" s="24"/>
      <c r="APC91" s="24"/>
      <c r="APD91" s="24"/>
      <c r="APE91" s="24"/>
      <c r="APF91" s="24"/>
      <c r="APG91" s="24"/>
      <c r="APH91" s="24"/>
      <c r="API91" s="24"/>
      <c r="APJ91" s="24"/>
      <c r="APK91" s="24"/>
      <c r="APL91" s="24"/>
      <c r="APM91" s="24"/>
      <c r="APN91" s="24"/>
      <c r="APO91" s="24"/>
      <c r="APP91" s="24"/>
      <c r="APQ91" s="24"/>
      <c r="APR91" s="24"/>
      <c r="APS91" s="24"/>
      <c r="APT91" s="24"/>
      <c r="APU91" s="24"/>
      <c r="APV91" s="24"/>
      <c r="APW91" s="24"/>
      <c r="APX91" s="24"/>
      <c r="APY91" s="24"/>
      <c r="APZ91" s="24"/>
      <c r="AQA91" s="24"/>
      <c r="AQB91" s="24"/>
      <c r="AQC91" s="24"/>
      <c r="AQD91" s="24"/>
      <c r="AQE91" s="24"/>
      <c r="AQF91" s="24"/>
      <c r="AQG91" s="24"/>
      <c r="AQH91" s="24"/>
      <c r="AQI91" s="24"/>
      <c r="AQJ91" s="24"/>
      <c r="AQK91" s="24"/>
      <c r="AQL91" s="24"/>
      <c r="AQM91" s="24"/>
      <c r="AQN91" s="24"/>
      <c r="AQO91" s="24"/>
      <c r="AQP91" s="24"/>
      <c r="AQQ91" s="24"/>
      <c r="AQR91" s="24"/>
      <c r="AQS91" s="24"/>
      <c r="AQT91" s="24"/>
      <c r="AQU91" s="24"/>
      <c r="AQV91" s="24"/>
      <c r="AQW91" s="24"/>
      <c r="AQX91" s="24"/>
      <c r="AQY91" s="24"/>
      <c r="AQZ91" s="24"/>
      <c r="ARA91" s="24"/>
      <c r="ARB91" s="24"/>
      <c r="ARC91" s="24"/>
      <c r="ARD91" s="24"/>
      <c r="ARE91" s="24"/>
      <c r="ARF91" s="24"/>
      <c r="ARG91" s="24"/>
      <c r="ARH91" s="24"/>
      <c r="ARI91" s="24"/>
      <c r="ARJ91" s="24"/>
      <c r="ARK91" s="24"/>
      <c r="ARL91" s="24"/>
      <c r="ARM91" s="24"/>
      <c r="ARN91" s="24"/>
      <c r="ARO91" s="24"/>
      <c r="ARP91" s="24"/>
      <c r="ARQ91" s="24"/>
      <c r="ARR91" s="24"/>
      <c r="ARS91" s="24"/>
      <c r="ART91" s="24"/>
      <c r="ARU91" s="24"/>
      <c r="ARV91" s="24"/>
      <c r="ARW91" s="24"/>
      <c r="ARX91" s="24"/>
      <c r="ARY91" s="24"/>
      <c r="ARZ91" s="24"/>
      <c r="ASA91" s="24"/>
      <c r="ASB91" s="24"/>
      <c r="ASC91" s="24"/>
      <c r="ASD91" s="24"/>
      <c r="ASE91" s="24"/>
      <c r="ASF91" s="24"/>
      <c r="ASG91" s="24"/>
      <c r="ASH91" s="24"/>
      <c r="ASI91" s="24"/>
      <c r="ASJ91" s="24"/>
      <c r="ASK91" s="24"/>
      <c r="ASL91" s="24"/>
      <c r="ASM91" s="24"/>
      <c r="ASN91" s="24"/>
      <c r="ASO91" s="24"/>
      <c r="ASP91" s="24"/>
      <c r="ASQ91" s="24"/>
      <c r="ASR91" s="24"/>
      <c r="ASS91" s="24"/>
      <c r="AST91" s="24"/>
      <c r="ASU91" s="24"/>
      <c r="ASV91" s="24"/>
      <c r="ASW91" s="24"/>
      <c r="ASX91" s="24"/>
      <c r="ASY91" s="24"/>
      <c r="ASZ91" s="24"/>
      <c r="ATA91" s="24"/>
      <c r="ATB91" s="24"/>
      <c r="ATC91" s="24"/>
      <c r="ATD91" s="24"/>
      <c r="ATE91" s="24"/>
      <c r="ATF91" s="24"/>
      <c r="ATG91" s="24"/>
      <c r="ATH91" s="24"/>
      <c r="ATI91" s="24"/>
      <c r="ATJ91" s="24"/>
      <c r="ATK91" s="24"/>
      <c r="ATL91" s="24"/>
      <c r="ATM91" s="24"/>
      <c r="ATN91" s="24"/>
      <c r="ATO91" s="24"/>
      <c r="ATP91" s="24"/>
      <c r="ATQ91" s="24"/>
      <c r="ATR91" s="24"/>
      <c r="ATS91" s="24"/>
      <c r="ATT91" s="24"/>
      <c r="ATU91" s="24"/>
      <c r="ATV91" s="24"/>
      <c r="ATW91" s="24"/>
      <c r="ATX91" s="24"/>
      <c r="ATY91" s="24"/>
      <c r="ATZ91" s="24"/>
      <c r="AUA91" s="24"/>
      <c r="AUB91" s="24"/>
      <c r="AUC91" s="24"/>
      <c r="AUD91" s="24"/>
      <c r="AUE91" s="24"/>
      <c r="AUF91" s="24"/>
      <c r="AUG91" s="24"/>
      <c r="AUH91" s="24"/>
      <c r="AUI91" s="24"/>
      <c r="AUJ91" s="24"/>
      <c r="AUK91" s="24"/>
      <c r="AUL91" s="24"/>
      <c r="AUM91" s="24"/>
      <c r="AUN91" s="24"/>
      <c r="AUO91" s="24"/>
      <c r="AUP91" s="24"/>
      <c r="AUQ91" s="24"/>
      <c r="AUR91" s="24"/>
      <c r="AUS91" s="24"/>
      <c r="AUT91" s="24"/>
      <c r="AUU91" s="24"/>
      <c r="AUV91" s="24"/>
      <c r="AUW91" s="24"/>
      <c r="AUX91" s="24"/>
      <c r="AUY91" s="24"/>
      <c r="AUZ91" s="24"/>
      <c r="AVA91" s="24"/>
      <c r="AVB91" s="24"/>
      <c r="AVC91" s="24"/>
      <c r="AVD91" s="24"/>
      <c r="AVE91" s="24"/>
      <c r="AVF91" s="24"/>
      <c r="AVG91" s="24"/>
      <c r="AVH91" s="24"/>
      <c r="AVI91" s="24"/>
      <c r="AVJ91" s="24"/>
      <c r="AVK91" s="24"/>
      <c r="AVL91" s="24"/>
      <c r="AVM91" s="24"/>
      <c r="AVN91" s="24"/>
      <c r="AVO91" s="24"/>
      <c r="AVP91" s="24"/>
      <c r="AVQ91" s="24"/>
      <c r="AVR91" s="24"/>
      <c r="AVS91" s="24"/>
      <c r="AVT91" s="24"/>
      <c r="AVU91" s="24"/>
      <c r="AVV91" s="24"/>
      <c r="AVW91" s="24"/>
      <c r="AVX91" s="24"/>
      <c r="AVY91" s="24"/>
      <c r="AVZ91" s="24"/>
      <c r="AWA91" s="24"/>
      <c r="AWB91" s="24"/>
      <c r="AWC91" s="24"/>
      <c r="AWD91" s="24"/>
      <c r="AWE91" s="24"/>
      <c r="AWF91" s="24"/>
      <c r="AWG91" s="24"/>
      <c r="AWH91" s="24"/>
      <c r="AWI91" s="24"/>
      <c r="AWJ91" s="24"/>
      <c r="AWK91" s="24"/>
      <c r="AWL91" s="24"/>
      <c r="AWM91" s="24"/>
      <c r="AWN91" s="24"/>
      <c r="AWO91" s="24"/>
      <c r="AWP91" s="24"/>
      <c r="AWQ91" s="24"/>
      <c r="AWR91" s="24"/>
      <c r="AWS91" s="24"/>
      <c r="AWT91" s="24"/>
      <c r="AWU91" s="24"/>
      <c r="AWV91" s="24"/>
      <c r="AWW91" s="24"/>
      <c r="AWX91" s="24"/>
      <c r="AWY91" s="24"/>
      <c r="AWZ91" s="24"/>
      <c r="AXA91" s="24"/>
      <c r="AXB91" s="24"/>
      <c r="AXC91" s="24"/>
      <c r="AXD91" s="24"/>
      <c r="AXE91" s="24"/>
      <c r="AXF91" s="24"/>
      <c r="AXG91" s="24"/>
      <c r="AXH91" s="24"/>
      <c r="AXI91" s="24"/>
      <c r="AXJ91" s="24"/>
      <c r="AXK91" s="24"/>
      <c r="AXL91" s="24"/>
      <c r="AXM91" s="24"/>
      <c r="AXN91" s="24"/>
      <c r="AXO91" s="24"/>
      <c r="AXP91" s="24"/>
      <c r="AXQ91" s="24"/>
      <c r="AXR91" s="24"/>
      <c r="AXS91" s="24"/>
      <c r="AXT91" s="24"/>
      <c r="AXU91" s="24"/>
      <c r="AXV91" s="24"/>
      <c r="AXW91" s="24"/>
      <c r="AXX91" s="24"/>
      <c r="AXY91" s="24"/>
      <c r="AXZ91" s="24"/>
      <c r="AYA91" s="24"/>
      <c r="AYB91" s="24"/>
      <c r="AYC91" s="24"/>
      <c r="AYD91" s="24"/>
      <c r="AYE91" s="24"/>
      <c r="AYF91" s="24"/>
      <c r="AYG91" s="24"/>
      <c r="AYH91" s="24"/>
      <c r="AYI91" s="24"/>
      <c r="AYJ91" s="24"/>
      <c r="AYK91" s="24"/>
      <c r="AYL91" s="24"/>
      <c r="AYM91" s="24"/>
      <c r="AYN91" s="24"/>
      <c r="AYO91" s="24"/>
      <c r="AYP91" s="24"/>
      <c r="AYQ91" s="24"/>
      <c r="AYR91" s="24"/>
      <c r="AYS91" s="24"/>
      <c r="AYT91" s="24"/>
      <c r="AYU91" s="24"/>
      <c r="AYV91" s="24"/>
      <c r="AYW91" s="24"/>
      <c r="AYX91" s="24"/>
      <c r="AYY91" s="24"/>
      <c r="AYZ91" s="24"/>
      <c r="AZA91" s="24"/>
      <c r="AZB91" s="24"/>
      <c r="AZC91" s="24"/>
      <c r="AZD91" s="24"/>
      <c r="AZE91" s="24"/>
      <c r="AZF91" s="24"/>
      <c r="AZG91" s="24"/>
      <c r="AZH91" s="24"/>
      <c r="AZI91" s="24"/>
      <c r="AZJ91" s="24"/>
      <c r="AZK91" s="24"/>
      <c r="AZL91" s="24"/>
      <c r="AZM91" s="24"/>
      <c r="AZN91" s="24"/>
      <c r="AZO91" s="24"/>
      <c r="AZP91" s="24"/>
      <c r="AZQ91" s="24"/>
      <c r="AZR91" s="24"/>
      <c r="AZS91" s="24"/>
      <c r="AZT91" s="24"/>
      <c r="AZU91" s="24"/>
      <c r="AZV91" s="24"/>
      <c r="AZW91" s="24"/>
      <c r="AZX91" s="24"/>
      <c r="AZY91" s="24"/>
      <c r="AZZ91" s="24"/>
      <c r="BAA91" s="24"/>
      <c r="BAB91" s="24"/>
      <c r="BAC91" s="24"/>
      <c r="BAD91" s="24"/>
      <c r="BAE91" s="24"/>
      <c r="BAF91" s="24"/>
      <c r="BAG91" s="24"/>
      <c r="BAH91" s="24"/>
      <c r="BAI91" s="24"/>
      <c r="BAJ91" s="24"/>
      <c r="BAK91" s="24"/>
      <c r="BAL91" s="24"/>
      <c r="BAM91" s="24"/>
      <c r="BAN91" s="24"/>
      <c r="BAO91" s="24"/>
      <c r="BAP91" s="24"/>
      <c r="BAQ91" s="24"/>
      <c r="BAR91" s="24"/>
      <c r="BAS91" s="24"/>
      <c r="BAT91" s="24"/>
      <c r="BAU91" s="24"/>
      <c r="BAV91" s="24"/>
      <c r="BAW91" s="24"/>
      <c r="BAX91" s="24"/>
      <c r="BAY91" s="24"/>
      <c r="BAZ91" s="24"/>
      <c r="BBA91" s="24"/>
      <c r="BBB91" s="24"/>
      <c r="BBC91" s="24"/>
      <c r="BBD91" s="24"/>
      <c r="BBE91" s="24"/>
      <c r="BBF91" s="24"/>
      <c r="BBG91" s="24"/>
      <c r="BBH91" s="24"/>
      <c r="BBI91" s="24"/>
      <c r="BBJ91" s="24"/>
      <c r="BBK91" s="24"/>
      <c r="BBL91" s="24"/>
      <c r="BBM91" s="24"/>
      <c r="BBN91" s="24"/>
      <c r="BBO91" s="24"/>
      <c r="BBP91" s="24"/>
      <c r="BBQ91" s="24"/>
      <c r="BBR91" s="24"/>
      <c r="BBS91" s="24"/>
      <c r="BBT91" s="24"/>
      <c r="BBU91" s="24"/>
      <c r="BBV91" s="24"/>
      <c r="BBW91" s="24"/>
      <c r="BBX91" s="24"/>
      <c r="BBY91" s="24"/>
      <c r="BBZ91" s="24"/>
      <c r="BCA91" s="24"/>
      <c r="BCB91" s="24"/>
      <c r="BCC91" s="24"/>
      <c r="BCD91" s="24"/>
      <c r="BCE91" s="24"/>
      <c r="BCF91" s="24"/>
      <c r="BCG91" s="24"/>
      <c r="BCH91" s="24"/>
      <c r="BCI91" s="24"/>
      <c r="BCJ91" s="24"/>
      <c r="BCK91" s="24"/>
      <c r="BCL91" s="24"/>
      <c r="BCM91" s="24"/>
      <c r="BCN91" s="24"/>
      <c r="BCO91" s="24"/>
      <c r="BCP91" s="24"/>
      <c r="BCQ91" s="24"/>
      <c r="BCR91" s="24"/>
      <c r="BCS91" s="24"/>
      <c r="BCT91" s="24"/>
      <c r="BCU91" s="24"/>
      <c r="BCV91" s="24"/>
      <c r="BCW91" s="24"/>
      <c r="BCX91" s="24"/>
      <c r="BCY91" s="24"/>
      <c r="BCZ91" s="24"/>
      <c r="BDA91" s="24"/>
      <c r="BDB91" s="24"/>
      <c r="BDC91" s="24"/>
      <c r="BDD91" s="24"/>
      <c r="BDE91" s="24"/>
      <c r="BDF91" s="24"/>
      <c r="BDG91" s="24"/>
      <c r="BDH91" s="24"/>
      <c r="BDI91" s="24"/>
      <c r="BDJ91" s="24"/>
      <c r="BDK91" s="24"/>
      <c r="BDL91" s="24"/>
      <c r="BDM91" s="24"/>
      <c r="BDN91" s="24"/>
      <c r="BDO91" s="24"/>
      <c r="BDP91" s="24"/>
      <c r="BDQ91" s="24"/>
      <c r="BDR91" s="24"/>
      <c r="BDS91" s="24"/>
      <c r="BDT91" s="24"/>
      <c r="BDU91" s="24"/>
      <c r="BDV91" s="24"/>
      <c r="BDW91" s="24"/>
      <c r="BDX91" s="24"/>
      <c r="BDY91" s="24"/>
      <c r="BDZ91" s="24"/>
      <c r="BEA91" s="24"/>
      <c r="BEB91" s="24"/>
      <c r="BEC91" s="24"/>
      <c r="BED91" s="24"/>
      <c r="BEE91" s="24"/>
      <c r="BEF91" s="24"/>
      <c r="BEG91" s="24"/>
      <c r="BEH91" s="24"/>
      <c r="BEI91" s="24"/>
      <c r="BEJ91" s="24"/>
      <c r="BEK91" s="24"/>
      <c r="BEL91" s="24"/>
      <c r="BEM91" s="24"/>
      <c r="BEN91" s="24"/>
      <c r="BEO91" s="24"/>
      <c r="BEP91" s="24"/>
      <c r="BEQ91" s="24"/>
      <c r="BER91" s="24"/>
      <c r="BES91" s="24"/>
      <c r="BET91" s="24"/>
      <c r="BEU91" s="24"/>
      <c r="BEV91" s="24"/>
      <c r="BEW91" s="24"/>
      <c r="BEX91" s="24"/>
      <c r="BEY91" s="24"/>
      <c r="BEZ91" s="24"/>
      <c r="BFA91" s="24"/>
      <c r="BFB91" s="24"/>
      <c r="BFC91" s="24"/>
      <c r="BFD91" s="24"/>
      <c r="BFE91" s="24"/>
      <c r="BFF91" s="24"/>
      <c r="BFG91" s="24"/>
      <c r="BFH91" s="24"/>
      <c r="BFI91" s="24"/>
      <c r="BFJ91" s="24"/>
      <c r="BFK91" s="24"/>
      <c r="BFL91" s="24"/>
      <c r="BFM91" s="24"/>
      <c r="BFN91" s="24"/>
      <c r="BFO91" s="24"/>
      <c r="BFP91" s="24"/>
      <c r="BFQ91" s="24"/>
      <c r="BFR91" s="24"/>
      <c r="BFS91" s="24"/>
      <c r="BFT91" s="24"/>
      <c r="BFU91" s="24"/>
      <c r="BFV91" s="24"/>
      <c r="BFW91" s="24"/>
      <c r="BFX91" s="24"/>
      <c r="BFY91" s="24"/>
      <c r="BFZ91" s="24"/>
      <c r="BGA91" s="24"/>
      <c r="BGB91" s="24"/>
      <c r="BGC91" s="24"/>
      <c r="BGD91" s="24"/>
      <c r="BGE91" s="24"/>
      <c r="BGF91" s="24"/>
      <c r="BGG91" s="24"/>
      <c r="BGH91" s="24"/>
      <c r="BGI91" s="24"/>
      <c r="BGJ91" s="24"/>
      <c r="BGK91" s="24"/>
      <c r="BGL91" s="24"/>
      <c r="BGM91" s="24"/>
      <c r="BGN91" s="24"/>
      <c r="BGO91" s="24"/>
      <c r="BGP91" s="24"/>
      <c r="BGQ91" s="24"/>
      <c r="BGR91" s="24"/>
      <c r="BGS91" s="24"/>
      <c r="BGT91" s="24"/>
      <c r="BGU91" s="24"/>
      <c r="BGV91" s="24"/>
      <c r="BGW91" s="24"/>
      <c r="BGX91" s="24"/>
      <c r="BGY91" s="24"/>
      <c r="BGZ91" s="24"/>
      <c r="BHA91" s="24"/>
      <c r="BHB91" s="24"/>
      <c r="BHC91" s="24"/>
      <c r="BHD91" s="24"/>
      <c r="BHE91" s="24"/>
      <c r="BHF91" s="24"/>
      <c r="BHG91" s="24"/>
      <c r="BHH91" s="24"/>
      <c r="BHI91" s="24"/>
      <c r="BHJ91" s="24"/>
      <c r="BHK91" s="24"/>
      <c r="BHL91" s="24"/>
      <c r="BHM91" s="24"/>
      <c r="BHN91" s="24"/>
      <c r="BHO91" s="24"/>
      <c r="BHP91" s="24"/>
      <c r="BHQ91" s="24"/>
      <c r="BHR91" s="24"/>
      <c r="BHS91" s="24"/>
      <c r="BHT91" s="24"/>
      <c r="BHU91" s="24"/>
      <c r="BHV91" s="24"/>
      <c r="BHW91" s="24"/>
      <c r="BHX91" s="24"/>
      <c r="BHY91" s="24"/>
      <c r="BHZ91" s="24"/>
      <c r="BIA91" s="24"/>
      <c r="BIB91" s="24"/>
      <c r="BIC91" s="24"/>
      <c r="BID91" s="24"/>
      <c r="BIE91" s="24"/>
      <c r="BIF91" s="24"/>
      <c r="BIG91" s="24"/>
      <c r="BIH91" s="24"/>
      <c r="BII91" s="24"/>
      <c r="BIJ91" s="24"/>
      <c r="BIK91" s="24"/>
      <c r="BIL91" s="24"/>
      <c r="BIM91" s="24"/>
      <c r="BIN91" s="24"/>
      <c r="BIO91" s="24"/>
      <c r="BIP91" s="24"/>
      <c r="BIQ91" s="24"/>
      <c r="BIR91" s="24"/>
      <c r="BIS91" s="24"/>
      <c r="BIT91" s="24"/>
      <c r="BIU91" s="24"/>
      <c r="BIV91" s="24"/>
      <c r="BIW91" s="24"/>
      <c r="BIX91" s="24"/>
      <c r="BIY91" s="24"/>
      <c r="BIZ91" s="24"/>
      <c r="BJA91" s="24"/>
      <c r="BJB91" s="24"/>
      <c r="BJC91" s="24"/>
      <c r="BJD91" s="24"/>
      <c r="BJE91" s="24"/>
      <c r="BJF91" s="24"/>
      <c r="BJG91" s="24"/>
      <c r="BJH91" s="24"/>
      <c r="BJI91" s="24"/>
      <c r="BJJ91" s="24"/>
      <c r="BJK91" s="24"/>
      <c r="BJL91" s="24"/>
      <c r="BJM91" s="24"/>
      <c r="BJN91" s="24"/>
      <c r="BJO91" s="24"/>
      <c r="BJP91" s="24"/>
      <c r="BJQ91" s="24"/>
      <c r="BJR91" s="24"/>
      <c r="BJS91" s="24"/>
      <c r="BJT91" s="24"/>
      <c r="BJU91" s="24"/>
      <c r="BJV91" s="24"/>
      <c r="BJW91" s="24"/>
      <c r="BJX91" s="24"/>
      <c r="BJY91" s="24"/>
      <c r="BJZ91" s="24"/>
      <c r="BKA91" s="24"/>
      <c r="BKB91" s="24"/>
      <c r="BKC91" s="24"/>
      <c r="BKD91" s="24"/>
      <c r="BKE91" s="24"/>
      <c r="BKF91" s="24"/>
      <c r="BKG91" s="24"/>
      <c r="BKH91" s="24"/>
      <c r="BKI91" s="24"/>
      <c r="BKJ91" s="24"/>
      <c r="BKK91" s="24"/>
      <c r="BKL91" s="24"/>
      <c r="BKM91" s="24"/>
      <c r="BKN91" s="24"/>
      <c r="BKO91" s="24"/>
      <c r="BKP91" s="24"/>
      <c r="BKQ91" s="24"/>
      <c r="BKR91" s="24"/>
      <c r="BKS91" s="24"/>
      <c r="BKT91" s="24"/>
      <c r="BKU91" s="24"/>
      <c r="BKV91" s="24"/>
      <c r="BKW91" s="24"/>
      <c r="BKX91" s="24"/>
      <c r="BKY91" s="24"/>
      <c r="BKZ91" s="24"/>
      <c r="BLA91" s="24"/>
      <c r="BLB91" s="24"/>
      <c r="BLC91" s="24"/>
      <c r="BLD91" s="24"/>
      <c r="BLE91" s="24"/>
      <c r="BLF91" s="24"/>
      <c r="BLG91" s="24"/>
      <c r="BLH91" s="24"/>
      <c r="BLI91" s="24"/>
      <c r="BLJ91" s="24"/>
      <c r="BLK91" s="24"/>
      <c r="BLL91" s="24"/>
      <c r="BLM91" s="24"/>
      <c r="BLN91" s="24"/>
      <c r="BLO91" s="24"/>
      <c r="BLP91" s="24"/>
      <c r="BLQ91" s="24"/>
      <c r="BLR91" s="24"/>
      <c r="BLS91" s="24"/>
      <c r="BLT91" s="24"/>
      <c r="BLU91" s="24"/>
      <c r="BLV91" s="24"/>
      <c r="BLW91" s="24"/>
      <c r="BLX91" s="24"/>
      <c r="BLY91" s="24"/>
      <c r="BLZ91" s="24"/>
      <c r="BMA91" s="24"/>
      <c r="BMB91" s="24"/>
      <c r="BMC91" s="24"/>
      <c r="BMD91" s="24"/>
      <c r="BME91" s="24"/>
      <c r="BMF91" s="24"/>
      <c r="BMG91" s="24"/>
      <c r="BMH91" s="24"/>
      <c r="BMI91" s="24"/>
      <c r="BMJ91" s="24"/>
      <c r="BMK91" s="24"/>
      <c r="BML91" s="24"/>
      <c r="BMM91" s="24"/>
      <c r="BMN91" s="24"/>
      <c r="BMO91" s="24"/>
      <c r="BMP91" s="24"/>
      <c r="BMQ91" s="24"/>
      <c r="BMR91" s="24"/>
      <c r="BMS91" s="24"/>
      <c r="BMT91" s="24"/>
      <c r="BMU91" s="24"/>
      <c r="BMV91" s="24"/>
      <c r="BMW91" s="24"/>
      <c r="BMX91" s="24"/>
      <c r="BMY91" s="24"/>
      <c r="BMZ91" s="24"/>
      <c r="BNA91" s="24"/>
      <c r="BNB91" s="24"/>
      <c r="BNC91" s="24"/>
      <c r="BND91" s="24"/>
      <c r="BNE91" s="24"/>
      <c r="BNF91" s="24"/>
      <c r="BNG91" s="24"/>
      <c r="BNH91" s="24"/>
      <c r="BNI91" s="24"/>
      <c r="BNJ91" s="24"/>
      <c r="BNK91" s="24"/>
      <c r="BNL91" s="24"/>
      <c r="BNM91" s="24"/>
      <c r="BNN91" s="24"/>
      <c r="BNO91" s="24"/>
      <c r="BNP91" s="24"/>
      <c r="BNQ91" s="24"/>
      <c r="BNR91" s="24"/>
      <c r="BNS91" s="24"/>
      <c r="BNT91" s="24"/>
      <c r="BNU91" s="24"/>
      <c r="BNV91" s="24"/>
      <c r="BNW91" s="24"/>
      <c r="BNX91" s="24"/>
      <c r="BNY91" s="24"/>
      <c r="BNZ91" s="24"/>
      <c r="BOA91" s="24"/>
      <c r="BOB91" s="24"/>
      <c r="BOC91" s="24"/>
      <c r="BOD91" s="24"/>
      <c r="BOE91" s="24"/>
      <c r="BOF91" s="24"/>
      <c r="BOG91" s="24"/>
      <c r="BOH91" s="24"/>
      <c r="BOI91" s="24"/>
      <c r="BOJ91" s="24"/>
      <c r="BOK91" s="24"/>
      <c r="BOL91" s="24"/>
      <c r="BOM91" s="24"/>
      <c r="BON91" s="24"/>
      <c r="BOO91" s="24"/>
      <c r="BOP91" s="24"/>
      <c r="BOQ91" s="24"/>
      <c r="BOR91" s="24"/>
      <c r="BOS91" s="24"/>
      <c r="BOT91" s="24"/>
      <c r="BOU91" s="24"/>
      <c r="BOV91" s="24"/>
      <c r="BOW91" s="24"/>
      <c r="BOX91" s="24"/>
      <c r="BOY91" s="24"/>
      <c r="BOZ91" s="24"/>
      <c r="BPA91" s="24"/>
      <c r="BPB91" s="24"/>
      <c r="BPC91" s="24"/>
      <c r="BPD91" s="24"/>
      <c r="BPE91" s="24"/>
      <c r="BPF91" s="24"/>
      <c r="BPG91" s="24"/>
      <c r="BPH91" s="24"/>
      <c r="BPI91" s="24"/>
      <c r="BPJ91" s="24"/>
      <c r="BPK91" s="24"/>
      <c r="BPL91" s="24"/>
      <c r="BPM91" s="24"/>
      <c r="BPN91" s="24"/>
      <c r="BPO91" s="24"/>
      <c r="BPP91" s="24"/>
      <c r="BPQ91" s="24"/>
      <c r="BPR91" s="24"/>
      <c r="BPS91" s="24"/>
      <c r="BPT91" s="24"/>
      <c r="BPU91" s="24"/>
      <c r="BPV91" s="24"/>
      <c r="BPW91" s="24"/>
      <c r="BPX91" s="24"/>
      <c r="BPY91" s="24"/>
      <c r="BPZ91" s="24"/>
      <c r="BQA91" s="24"/>
      <c r="BQB91" s="24"/>
      <c r="BQC91" s="24"/>
      <c r="BQD91" s="24"/>
      <c r="BQE91" s="24"/>
      <c r="BQF91" s="24"/>
      <c r="BQG91" s="24"/>
      <c r="BQH91" s="24"/>
      <c r="BQI91" s="24"/>
      <c r="BQJ91" s="24"/>
      <c r="BQK91" s="24"/>
      <c r="BQL91" s="24"/>
      <c r="BQM91" s="24"/>
      <c r="BQN91" s="24"/>
      <c r="BQO91" s="24"/>
      <c r="BQP91" s="24"/>
      <c r="BQQ91" s="24"/>
      <c r="BQR91" s="24"/>
      <c r="BQS91" s="24"/>
      <c r="BQT91" s="24"/>
      <c r="BQU91" s="24"/>
      <c r="BQV91" s="24"/>
      <c r="BQW91" s="24"/>
      <c r="BQX91" s="24"/>
      <c r="BQY91" s="24"/>
      <c r="BQZ91" s="24"/>
      <c r="BRA91" s="24"/>
      <c r="BRB91" s="24"/>
      <c r="BRC91" s="24"/>
      <c r="BRD91" s="24"/>
      <c r="BRE91" s="24"/>
      <c r="BRF91" s="24"/>
      <c r="BRG91" s="24"/>
      <c r="BRH91" s="24"/>
      <c r="BRI91" s="24"/>
      <c r="BRJ91" s="24"/>
      <c r="BRK91" s="24"/>
      <c r="BRL91" s="24"/>
      <c r="BRM91" s="24"/>
      <c r="BRN91" s="24"/>
      <c r="BRO91" s="24"/>
      <c r="BRP91" s="24"/>
      <c r="BRQ91" s="24"/>
      <c r="BRR91" s="24"/>
      <c r="BRS91" s="24"/>
      <c r="BRT91" s="24"/>
      <c r="BRU91" s="24"/>
      <c r="BRV91" s="24"/>
      <c r="BRW91" s="24"/>
      <c r="BRX91" s="24"/>
      <c r="BRY91" s="24"/>
      <c r="BRZ91" s="24"/>
      <c r="BSA91" s="24"/>
      <c r="BSB91" s="24"/>
      <c r="BSC91" s="24"/>
      <c r="BSD91" s="24"/>
      <c r="BSE91" s="24"/>
      <c r="BSF91" s="24"/>
      <c r="BSG91" s="24"/>
      <c r="BSH91" s="24"/>
      <c r="BSI91" s="24"/>
      <c r="BSJ91" s="24"/>
      <c r="BSK91" s="24"/>
      <c r="BSL91" s="24"/>
      <c r="BSM91" s="24"/>
      <c r="BSN91" s="24"/>
      <c r="BSO91" s="24"/>
      <c r="BSP91" s="24"/>
      <c r="BSQ91" s="24"/>
      <c r="BSR91" s="24"/>
      <c r="BSS91" s="24"/>
      <c r="BST91" s="24"/>
      <c r="BSU91" s="24"/>
      <c r="BSV91" s="24"/>
      <c r="BSW91" s="24"/>
      <c r="BSX91" s="24"/>
      <c r="BSY91" s="24"/>
      <c r="BSZ91" s="24"/>
      <c r="BTA91" s="24"/>
      <c r="BTB91" s="24"/>
      <c r="BTC91" s="24"/>
      <c r="BTD91" s="24"/>
      <c r="BTE91" s="24"/>
      <c r="BTF91" s="24"/>
      <c r="BTG91" s="24"/>
      <c r="BTH91" s="24"/>
      <c r="BTI91" s="24"/>
      <c r="BTJ91" s="24"/>
      <c r="BTK91" s="24"/>
      <c r="BTL91" s="24"/>
      <c r="BTM91" s="24"/>
      <c r="BTN91" s="24"/>
      <c r="BTO91" s="24"/>
      <c r="BTP91" s="24"/>
      <c r="BTQ91" s="24"/>
      <c r="BTR91" s="24"/>
      <c r="BTS91" s="24"/>
      <c r="BTT91" s="24"/>
      <c r="BTU91" s="24"/>
      <c r="BTV91" s="24"/>
      <c r="BTW91" s="24"/>
      <c r="BTX91" s="24"/>
      <c r="BTY91" s="24"/>
      <c r="BTZ91" s="24"/>
      <c r="BUA91" s="24"/>
      <c r="BUB91" s="24"/>
      <c r="BUC91" s="24"/>
      <c r="BUD91" s="24"/>
      <c r="BUE91" s="24"/>
      <c r="BUF91" s="24"/>
      <c r="BUG91" s="24"/>
      <c r="BUH91" s="24"/>
      <c r="BUI91" s="24"/>
      <c r="BUJ91" s="24"/>
      <c r="BUK91" s="24"/>
      <c r="BUL91" s="24"/>
      <c r="BUM91" s="24"/>
      <c r="BUN91" s="24"/>
      <c r="BUO91" s="24"/>
      <c r="BUP91" s="24"/>
      <c r="BUQ91" s="24"/>
      <c r="BUR91" s="24"/>
      <c r="BUS91" s="24"/>
      <c r="BUT91" s="24"/>
      <c r="BUU91" s="24"/>
      <c r="BUV91" s="24"/>
      <c r="BUW91" s="24"/>
      <c r="BUX91" s="24"/>
      <c r="BUY91" s="24"/>
      <c r="BUZ91" s="24"/>
      <c r="BVA91" s="24"/>
      <c r="BVB91" s="24"/>
      <c r="BVC91" s="24"/>
      <c r="BVD91" s="24"/>
      <c r="BVE91" s="24"/>
      <c r="BVF91" s="24"/>
      <c r="BVG91" s="24"/>
      <c r="BVH91" s="24"/>
      <c r="BVI91" s="24"/>
      <c r="BVJ91" s="24"/>
      <c r="BVK91" s="24"/>
      <c r="BVL91" s="24"/>
      <c r="BVM91" s="24"/>
      <c r="BVN91" s="24"/>
      <c r="BVO91" s="24"/>
      <c r="BVP91" s="24"/>
      <c r="BVQ91" s="24"/>
      <c r="BVR91" s="24"/>
      <c r="BVS91" s="24"/>
      <c r="BVT91" s="24"/>
      <c r="BVU91" s="24"/>
      <c r="BVV91" s="24"/>
      <c r="BVW91" s="24"/>
      <c r="BVX91" s="24"/>
      <c r="BVY91" s="24"/>
      <c r="BVZ91" s="24"/>
      <c r="BWA91" s="24"/>
      <c r="BWB91" s="24"/>
      <c r="BWC91" s="24"/>
      <c r="BWD91" s="24"/>
      <c r="BWE91" s="24"/>
      <c r="BWF91" s="24"/>
      <c r="BWG91" s="24"/>
      <c r="BWH91" s="24"/>
      <c r="BWI91" s="24"/>
      <c r="BWJ91" s="24"/>
      <c r="BWK91" s="24"/>
      <c r="BWL91" s="24"/>
      <c r="BWM91" s="24"/>
      <c r="BWN91" s="24"/>
      <c r="BWO91" s="24"/>
      <c r="BWP91" s="24"/>
      <c r="BWQ91" s="24"/>
      <c r="BWR91" s="24"/>
      <c r="BWS91" s="24"/>
      <c r="BWT91" s="24"/>
      <c r="BWU91" s="24"/>
      <c r="BWV91" s="24"/>
      <c r="BWW91" s="24"/>
      <c r="BWX91" s="24"/>
      <c r="BWY91" s="24"/>
      <c r="BWZ91" s="24"/>
      <c r="BXA91" s="24"/>
      <c r="BXB91" s="24"/>
      <c r="BXC91" s="24"/>
      <c r="BXD91" s="24"/>
      <c r="BXE91" s="24"/>
      <c r="BXF91" s="24"/>
      <c r="BXG91" s="24"/>
      <c r="BXH91" s="24"/>
      <c r="BXI91" s="24"/>
      <c r="BXJ91" s="24"/>
      <c r="BXK91" s="24"/>
      <c r="BXL91" s="24"/>
      <c r="BXM91" s="24"/>
      <c r="BXN91" s="24"/>
      <c r="BXO91" s="24"/>
      <c r="BXP91" s="24"/>
      <c r="BXQ91" s="24"/>
      <c r="BXR91" s="24"/>
      <c r="BXS91" s="24"/>
      <c r="BXT91" s="24"/>
      <c r="BXU91" s="24"/>
      <c r="BXV91" s="24"/>
      <c r="BXW91" s="24"/>
      <c r="BXX91" s="24"/>
      <c r="BXY91" s="24"/>
      <c r="BXZ91" s="24"/>
      <c r="BYA91" s="24"/>
      <c r="BYB91" s="24"/>
      <c r="BYC91" s="24"/>
      <c r="BYD91" s="24"/>
      <c r="BYE91" s="24"/>
      <c r="BYF91" s="24"/>
      <c r="BYG91" s="24"/>
      <c r="BYH91" s="24"/>
      <c r="BYI91" s="24"/>
      <c r="BYJ91" s="24"/>
      <c r="BYK91" s="24"/>
      <c r="BYL91" s="24"/>
      <c r="BYM91" s="24"/>
      <c r="BYN91" s="24"/>
      <c r="BYO91" s="24"/>
      <c r="BYP91" s="24"/>
      <c r="BYQ91" s="24"/>
      <c r="BYR91" s="24"/>
      <c r="BYS91" s="24"/>
      <c r="BYT91" s="24"/>
      <c r="BYU91" s="24"/>
      <c r="BYV91" s="24"/>
      <c r="BYW91" s="24"/>
      <c r="BYX91" s="24"/>
      <c r="BYY91" s="24"/>
      <c r="BYZ91" s="24"/>
      <c r="BZA91" s="24"/>
      <c r="BZB91" s="24"/>
      <c r="BZC91" s="24"/>
      <c r="BZD91" s="24"/>
      <c r="BZE91" s="24"/>
      <c r="BZF91" s="24"/>
      <c r="BZG91" s="24"/>
      <c r="BZH91" s="24"/>
      <c r="BZI91" s="24"/>
      <c r="BZJ91" s="24"/>
      <c r="BZK91" s="24"/>
      <c r="BZL91" s="24"/>
      <c r="BZM91" s="24"/>
      <c r="BZN91" s="24"/>
      <c r="BZO91" s="24"/>
      <c r="BZP91" s="24"/>
      <c r="BZQ91" s="24"/>
      <c r="BZR91" s="24"/>
      <c r="BZS91" s="24"/>
      <c r="BZT91" s="24"/>
      <c r="BZU91" s="24"/>
      <c r="BZV91" s="24"/>
      <c r="BZW91" s="24"/>
      <c r="BZX91" s="24"/>
      <c r="BZY91" s="24"/>
      <c r="BZZ91" s="24"/>
      <c r="CAA91" s="24"/>
      <c r="CAB91" s="24"/>
      <c r="CAC91" s="24"/>
      <c r="CAD91" s="24"/>
      <c r="CAE91" s="24"/>
      <c r="CAF91" s="24"/>
      <c r="CAG91" s="24"/>
      <c r="CAH91" s="24"/>
      <c r="CAI91" s="24"/>
      <c r="CAJ91" s="24"/>
      <c r="CAK91" s="24"/>
      <c r="CAL91" s="24"/>
      <c r="CAM91" s="24"/>
      <c r="CAN91" s="24"/>
      <c r="CAO91" s="24"/>
      <c r="CAP91" s="24"/>
      <c r="CAQ91" s="24"/>
      <c r="CAR91" s="24"/>
      <c r="CAS91" s="24"/>
      <c r="CAT91" s="24"/>
      <c r="CAU91" s="24"/>
      <c r="CAV91" s="24"/>
      <c r="CAW91" s="24"/>
      <c r="CAX91" s="24"/>
      <c r="CAY91" s="24"/>
      <c r="CAZ91" s="24"/>
      <c r="CBA91" s="24"/>
      <c r="CBB91" s="24"/>
      <c r="CBC91" s="24"/>
      <c r="CBD91" s="24"/>
      <c r="CBE91" s="24"/>
      <c r="CBF91" s="24"/>
      <c r="CBG91" s="24"/>
      <c r="CBH91" s="24"/>
      <c r="CBI91" s="24"/>
      <c r="CBJ91" s="24"/>
      <c r="CBK91" s="24"/>
      <c r="CBL91" s="24"/>
      <c r="CBM91" s="24"/>
      <c r="CBN91" s="24"/>
      <c r="CBO91" s="24"/>
      <c r="CBP91" s="24"/>
      <c r="CBQ91" s="24"/>
      <c r="CBR91" s="24"/>
      <c r="CBS91" s="24"/>
      <c r="CBT91" s="24"/>
      <c r="CBU91" s="24"/>
      <c r="CBV91" s="24"/>
      <c r="CBW91" s="24"/>
      <c r="CBX91" s="24"/>
      <c r="CBY91" s="24"/>
      <c r="CBZ91" s="24"/>
      <c r="CCA91" s="24"/>
      <c r="CCB91" s="24"/>
      <c r="CCC91" s="24"/>
      <c r="CCD91" s="24"/>
      <c r="CCE91" s="24"/>
      <c r="CCF91" s="24"/>
      <c r="CCG91" s="24"/>
      <c r="CCH91" s="24"/>
      <c r="CCI91" s="24"/>
      <c r="CCJ91" s="24"/>
      <c r="CCK91" s="24"/>
      <c r="CCL91" s="24"/>
      <c r="CCM91" s="24"/>
      <c r="CCN91" s="24"/>
      <c r="CCO91" s="24"/>
      <c r="CCP91" s="24"/>
      <c r="CCQ91" s="24"/>
      <c r="CCR91" s="24"/>
      <c r="CCS91" s="24"/>
      <c r="CCT91" s="24"/>
      <c r="CCU91" s="24"/>
      <c r="CCV91" s="24"/>
      <c r="CCW91" s="24"/>
      <c r="CCX91" s="24"/>
      <c r="CCY91" s="24"/>
      <c r="CCZ91" s="24"/>
      <c r="CDA91" s="24"/>
      <c r="CDB91" s="24"/>
      <c r="CDC91" s="24"/>
      <c r="CDD91" s="24"/>
      <c r="CDE91" s="24"/>
      <c r="CDF91" s="24"/>
      <c r="CDG91" s="24"/>
      <c r="CDH91" s="24"/>
      <c r="CDI91" s="24"/>
      <c r="CDJ91" s="24"/>
      <c r="CDK91" s="24"/>
      <c r="CDL91" s="24"/>
      <c r="CDM91" s="24"/>
      <c r="CDN91" s="24"/>
      <c r="CDO91" s="24"/>
      <c r="CDP91" s="24"/>
      <c r="CDQ91" s="24"/>
      <c r="CDR91" s="24"/>
      <c r="CDS91" s="24"/>
      <c r="CDT91" s="24"/>
      <c r="CDU91" s="24"/>
      <c r="CDV91" s="24"/>
      <c r="CDW91" s="24"/>
      <c r="CDX91" s="24"/>
      <c r="CDY91" s="24"/>
      <c r="CDZ91" s="24"/>
      <c r="CEA91" s="24"/>
      <c r="CEB91" s="24"/>
      <c r="CEC91" s="24"/>
      <c r="CED91" s="24"/>
      <c r="CEE91" s="24"/>
      <c r="CEF91" s="24"/>
      <c r="CEG91" s="24"/>
      <c r="CEH91" s="24"/>
      <c r="CEI91" s="24"/>
      <c r="CEJ91" s="24"/>
      <c r="CEK91" s="24"/>
      <c r="CEL91" s="24"/>
      <c r="CEM91" s="24"/>
      <c r="CEN91" s="24"/>
      <c r="CEO91" s="24"/>
      <c r="CEP91" s="24"/>
      <c r="CEQ91" s="24"/>
      <c r="CER91" s="24"/>
      <c r="CES91" s="24"/>
      <c r="CET91" s="24"/>
      <c r="CEU91" s="24"/>
      <c r="CEV91" s="24"/>
      <c r="CEW91" s="24"/>
      <c r="CEX91" s="24"/>
      <c r="CEY91" s="24"/>
      <c r="CEZ91" s="24"/>
      <c r="CFA91" s="24"/>
      <c r="CFB91" s="24"/>
      <c r="CFC91" s="24"/>
      <c r="CFD91" s="24"/>
      <c r="CFE91" s="24"/>
      <c r="CFF91" s="24"/>
      <c r="CFG91" s="24"/>
      <c r="CFH91" s="24"/>
      <c r="CFI91" s="24"/>
      <c r="CFJ91" s="24"/>
      <c r="CFK91" s="24"/>
      <c r="CFL91" s="24"/>
      <c r="CFM91" s="24"/>
      <c r="CFN91" s="24"/>
      <c r="CFO91" s="24"/>
      <c r="CFP91" s="24"/>
      <c r="CFQ91" s="24"/>
      <c r="CFR91" s="24"/>
      <c r="CFS91" s="24"/>
      <c r="CFT91" s="24"/>
      <c r="CFU91" s="24"/>
      <c r="CFV91" s="24"/>
      <c r="CFW91" s="24"/>
      <c r="CFX91" s="24"/>
      <c r="CFY91" s="24"/>
      <c r="CFZ91" s="24"/>
      <c r="CGA91" s="24"/>
      <c r="CGB91" s="24"/>
      <c r="CGC91" s="24"/>
      <c r="CGD91" s="24"/>
      <c r="CGE91" s="24"/>
      <c r="CGF91" s="24"/>
      <c r="CGG91" s="24"/>
      <c r="CGH91" s="24"/>
      <c r="CGI91" s="24"/>
      <c r="CGJ91" s="24"/>
      <c r="CGK91" s="24"/>
      <c r="CGL91" s="24"/>
      <c r="CGM91" s="24"/>
      <c r="CGN91" s="24"/>
      <c r="CGO91" s="24"/>
      <c r="CGP91" s="24"/>
      <c r="CGQ91" s="24"/>
      <c r="CGR91" s="24"/>
      <c r="CGS91" s="24"/>
      <c r="CGT91" s="24"/>
      <c r="CGU91" s="24"/>
      <c r="CGV91" s="24"/>
      <c r="CGW91" s="24"/>
      <c r="CGX91" s="24"/>
      <c r="CGY91" s="24"/>
      <c r="CGZ91" s="24"/>
      <c r="CHA91" s="24"/>
      <c r="CHB91" s="24"/>
      <c r="CHC91" s="24"/>
      <c r="CHD91" s="24"/>
      <c r="CHE91" s="24"/>
      <c r="CHF91" s="24"/>
      <c r="CHG91" s="24"/>
      <c r="CHH91" s="24"/>
      <c r="CHI91" s="24"/>
      <c r="CHJ91" s="24"/>
      <c r="CHK91" s="24"/>
      <c r="CHL91" s="24"/>
      <c r="CHM91" s="24"/>
      <c r="CHN91" s="24"/>
      <c r="CHO91" s="24"/>
      <c r="CHP91" s="24"/>
      <c r="CHQ91" s="24"/>
      <c r="CHR91" s="24"/>
      <c r="CHS91" s="24"/>
      <c r="CHT91" s="24"/>
      <c r="CHU91" s="24"/>
      <c r="CHV91" s="24"/>
      <c r="CHW91" s="24"/>
      <c r="CHX91" s="24"/>
      <c r="CHY91" s="24"/>
      <c r="CHZ91" s="24"/>
      <c r="CIA91" s="24"/>
      <c r="CIB91" s="24"/>
      <c r="CIC91" s="24"/>
      <c r="CID91" s="24"/>
      <c r="CIE91" s="24"/>
      <c r="CIF91" s="24"/>
      <c r="CIG91" s="24"/>
      <c r="CIH91" s="24"/>
      <c r="CII91" s="24"/>
      <c r="CIJ91" s="24"/>
      <c r="CIK91" s="24"/>
      <c r="CIL91" s="24"/>
      <c r="CIM91" s="24"/>
      <c r="CIN91" s="24"/>
      <c r="CIO91" s="24"/>
      <c r="CIP91" s="24"/>
      <c r="CIQ91" s="24"/>
      <c r="CIR91" s="24"/>
      <c r="CIS91" s="24"/>
      <c r="CIT91" s="24"/>
      <c r="CIU91" s="24"/>
      <c r="CIV91" s="24"/>
      <c r="CIW91" s="24"/>
      <c r="CIX91" s="24"/>
      <c r="CIY91" s="24"/>
      <c r="CIZ91" s="24"/>
      <c r="CJA91" s="24"/>
      <c r="CJB91" s="24"/>
      <c r="CJC91" s="24"/>
      <c r="CJD91" s="24"/>
      <c r="CJE91" s="24"/>
      <c r="CJF91" s="24"/>
      <c r="CJG91" s="24"/>
      <c r="CJH91" s="24"/>
      <c r="CJI91" s="24"/>
      <c r="CJJ91" s="24"/>
      <c r="CJK91" s="24"/>
      <c r="CJL91" s="24"/>
      <c r="CJM91" s="24"/>
      <c r="CJN91" s="24"/>
      <c r="CJO91" s="24"/>
      <c r="CJP91" s="24"/>
      <c r="CJQ91" s="24"/>
      <c r="CJR91" s="24"/>
      <c r="CJS91" s="24"/>
      <c r="CJT91" s="24"/>
      <c r="CJU91" s="24"/>
      <c r="CJV91" s="24"/>
      <c r="CJW91" s="24"/>
      <c r="CJX91" s="24"/>
      <c r="CJY91" s="24"/>
      <c r="CJZ91" s="24"/>
      <c r="CKA91" s="24"/>
      <c r="CKB91" s="24"/>
      <c r="CKC91" s="24"/>
      <c r="CKD91" s="24"/>
      <c r="CKE91" s="24"/>
      <c r="CKF91" s="24"/>
      <c r="CKG91" s="24"/>
      <c r="CKH91" s="24"/>
      <c r="CKI91" s="24"/>
      <c r="CKJ91" s="24"/>
      <c r="CKK91" s="24"/>
      <c r="CKL91" s="24"/>
      <c r="CKM91" s="24"/>
      <c r="CKN91" s="24"/>
      <c r="CKO91" s="24"/>
      <c r="CKP91" s="24"/>
      <c r="CKQ91" s="24"/>
      <c r="CKR91" s="24"/>
      <c r="CKS91" s="24"/>
      <c r="CKT91" s="24"/>
      <c r="CKU91" s="24"/>
      <c r="CKV91" s="24"/>
      <c r="CKW91" s="24"/>
      <c r="CKX91" s="24"/>
      <c r="CKY91" s="24"/>
      <c r="CKZ91" s="24"/>
      <c r="CLA91" s="24"/>
      <c r="CLB91" s="24"/>
      <c r="CLC91" s="24"/>
      <c r="CLD91" s="24"/>
      <c r="CLE91" s="24"/>
      <c r="CLF91" s="24"/>
      <c r="CLG91" s="24"/>
      <c r="CLH91" s="24"/>
      <c r="CLI91" s="24"/>
      <c r="CLJ91" s="24"/>
      <c r="CLK91" s="24"/>
      <c r="CLL91" s="24"/>
      <c r="CLM91" s="24"/>
      <c r="CLN91" s="24"/>
      <c r="CLO91" s="24"/>
      <c r="CLP91" s="24"/>
      <c r="CLQ91" s="24"/>
      <c r="CLR91" s="24"/>
      <c r="CLS91" s="24"/>
      <c r="CLT91" s="24"/>
      <c r="CLU91" s="24"/>
      <c r="CLV91" s="24"/>
      <c r="CLW91" s="24"/>
      <c r="CLX91" s="24"/>
      <c r="CLY91" s="24"/>
      <c r="CLZ91" s="24"/>
      <c r="CMA91" s="24"/>
      <c r="CMB91" s="24"/>
      <c r="CMC91" s="24"/>
      <c r="CMD91" s="24"/>
      <c r="CME91" s="24"/>
      <c r="CMF91" s="24"/>
      <c r="CMG91" s="24"/>
      <c r="CMH91" s="24"/>
      <c r="CMI91" s="24"/>
      <c r="CMJ91" s="24"/>
      <c r="CMK91" s="24"/>
      <c r="CML91" s="24"/>
      <c r="CMM91" s="24"/>
      <c r="CMN91" s="24"/>
      <c r="CMO91" s="24"/>
      <c r="CMP91" s="24"/>
      <c r="CMQ91" s="24"/>
      <c r="CMR91" s="24"/>
      <c r="CMS91" s="24"/>
      <c r="CMT91" s="24"/>
      <c r="CMU91" s="24"/>
      <c r="CMV91" s="24"/>
      <c r="CMW91" s="24"/>
      <c r="CMX91" s="24"/>
      <c r="CMY91" s="24"/>
      <c r="CMZ91" s="24"/>
      <c r="CNA91" s="24"/>
      <c r="CNB91" s="24"/>
      <c r="CNC91" s="24"/>
      <c r="CND91" s="24"/>
      <c r="CNE91" s="24"/>
      <c r="CNF91" s="24"/>
      <c r="CNG91" s="24"/>
      <c r="CNH91" s="24"/>
      <c r="CNI91" s="24"/>
      <c r="CNJ91" s="24"/>
      <c r="CNK91" s="24"/>
      <c r="CNL91" s="24"/>
      <c r="CNM91" s="24"/>
      <c r="CNN91" s="24"/>
      <c r="CNO91" s="24"/>
      <c r="CNP91" s="24"/>
      <c r="CNQ91" s="24"/>
      <c r="CNR91" s="24"/>
      <c r="CNS91" s="24"/>
      <c r="CNT91" s="24"/>
      <c r="CNU91" s="24"/>
      <c r="CNV91" s="24"/>
      <c r="CNW91" s="24"/>
      <c r="CNX91" s="24"/>
      <c r="CNY91" s="24"/>
      <c r="CNZ91" s="24"/>
      <c r="COA91" s="24"/>
      <c r="COB91" s="24"/>
      <c r="COC91" s="24"/>
      <c r="COD91" s="24"/>
      <c r="COE91" s="24"/>
      <c r="COF91" s="24"/>
      <c r="COG91" s="24"/>
      <c r="COH91" s="24"/>
      <c r="COI91" s="24"/>
      <c r="COJ91" s="24"/>
      <c r="COK91" s="24"/>
      <c r="COL91" s="24"/>
      <c r="COM91" s="24"/>
      <c r="CON91" s="24"/>
      <c r="COO91" s="24"/>
      <c r="COP91" s="24"/>
      <c r="COQ91" s="24"/>
      <c r="COR91" s="24"/>
      <c r="COS91" s="24"/>
      <c r="COT91" s="24"/>
      <c r="COU91" s="24"/>
      <c r="COV91" s="24"/>
      <c r="COW91" s="24"/>
      <c r="COX91" s="24"/>
      <c r="COY91" s="24"/>
      <c r="COZ91" s="24"/>
      <c r="CPA91" s="24"/>
      <c r="CPB91" s="24"/>
      <c r="CPC91" s="24"/>
      <c r="CPD91" s="24"/>
      <c r="CPE91" s="24"/>
      <c r="CPF91" s="24"/>
      <c r="CPG91" s="24"/>
      <c r="CPH91" s="24"/>
      <c r="CPI91" s="24"/>
      <c r="CPJ91" s="24"/>
      <c r="CPK91" s="24"/>
      <c r="CPL91" s="24"/>
      <c r="CPM91" s="24"/>
      <c r="CPN91" s="24"/>
      <c r="CPO91" s="24"/>
      <c r="CPP91" s="24"/>
      <c r="CPQ91" s="24"/>
      <c r="CPR91" s="24"/>
      <c r="CPS91" s="24"/>
      <c r="CPT91" s="24"/>
      <c r="CPU91" s="24"/>
      <c r="CPV91" s="24"/>
      <c r="CPW91" s="24"/>
      <c r="CPX91" s="24"/>
      <c r="CPY91" s="24"/>
      <c r="CPZ91" s="24"/>
      <c r="CQA91" s="24"/>
      <c r="CQB91" s="24"/>
      <c r="CQC91" s="24"/>
      <c r="CQD91" s="24"/>
      <c r="CQE91" s="24"/>
      <c r="CQF91" s="24"/>
      <c r="CQG91" s="24"/>
      <c r="CQH91" s="24"/>
      <c r="CQI91" s="24"/>
      <c r="CQJ91" s="24"/>
      <c r="CQK91" s="24"/>
      <c r="CQL91" s="24"/>
      <c r="CQM91" s="24"/>
      <c r="CQN91" s="24"/>
      <c r="CQO91" s="24"/>
      <c r="CQP91" s="24"/>
      <c r="CQQ91" s="24"/>
      <c r="CQR91" s="24"/>
      <c r="CQS91" s="24"/>
      <c r="CQT91" s="24"/>
      <c r="CQU91" s="24"/>
      <c r="CQV91" s="24"/>
      <c r="CQW91" s="24"/>
      <c r="CQX91" s="24"/>
      <c r="CQY91" s="24"/>
      <c r="CQZ91" s="24"/>
      <c r="CRA91" s="24"/>
      <c r="CRB91" s="24"/>
      <c r="CRC91" s="24"/>
      <c r="CRD91" s="24"/>
      <c r="CRE91" s="24"/>
      <c r="CRF91" s="24"/>
      <c r="CRG91" s="24"/>
      <c r="CRH91" s="24"/>
      <c r="CRI91" s="24"/>
      <c r="CRJ91" s="24"/>
      <c r="CRK91" s="24"/>
      <c r="CRL91" s="24"/>
      <c r="CRM91" s="24"/>
      <c r="CRN91" s="24"/>
      <c r="CRO91" s="24"/>
      <c r="CRP91" s="24"/>
      <c r="CRQ91" s="24"/>
      <c r="CRR91" s="24"/>
      <c r="CRS91" s="24"/>
      <c r="CRT91" s="24"/>
      <c r="CRU91" s="24"/>
      <c r="CRV91" s="24"/>
      <c r="CRW91" s="24"/>
      <c r="CRX91" s="24"/>
      <c r="CRY91" s="24"/>
      <c r="CRZ91" s="24"/>
      <c r="CSA91" s="24"/>
      <c r="CSB91" s="24"/>
      <c r="CSC91" s="24"/>
      <c r="CSD91" s="24"/>
      <c r="CSE91" s="24"/>
      <c r="CSF91" s="24"/>
      <c r="CSG91" s="24"/>
      <c r="CSH91" s="24"/>
      <c r="CSI91" s="24"/>
      <c r="CSJ91" s="24"/>
      <c r="CSK91" s="24"/>
      <c r="CSL91" s="24"/>
      <c r="CSM91" s="24"/>
      <c r="CSN91" s="24"/>
      <c r="CSO91" s="24"/>
      <c r="CSP91" s="24"/>
      <c r="CSQ91" s="24"/>
      <c r="CSR91" s="24"/>
      <c r="CSS91" s="24"/>
      <c r="CST91" s="24"/>
      <c r="CSU91" s="24"/>
      <c r="CSV91" s="24"/>
      <c r="CSW91" s="24"/>
      <c r="CSX91" s="24"/>
      <c r="CSY91" s="24"/>
      <c r="CSZ91" s="24"/>
      <c r="CTA91" s="24"/>
      <c r="CTB91" s="24"/>
      <c r="CTC91" s="24"/>
      <c r="CTD91" s="24"/>
      <c r="CTE91" s="24"/>
      <c r="CTF91" s="24"/>
      <c r="CTG91" s="24"/>
      <c r="CTH91" s="24"/>
      <c r="CTI91" s="24"/>
      <c r="CTJ91" s="24"/>
      <c r="CTK91" s="24"/>
      <c r="CTL91" s="24"/>
      <c r="CTM91" s="24"/>
      <c r="CTN91" s="24"/>
      <c r="CTO91" s="24"/>
      <c r="CTP91" s="24"/>
      <c r="CTQ91" s="24"/>
      <c r="CTR91" s="24"/>
      <c r="CTS91" s="24"/>
      <c r="CTT91" s="24"/>
      <c r="CTU91" s="24"/>
      <c r="CTV91" s="24"/>
      <c r="CTW91" s="24"/>
      <c r="CTX91" s="24"/>
      <c r="CTY91" s="24"/>
      <c r="CTZ91" s="24"/>
      <c r="CUA91" s="24"/>
      <c r="CUB91" s="24"/>
      <c r="CUC91" s="24"/>
      <c r="CUD91" s="24"/>
      <c r="CUE91" s="24"/>
      <c r="CUF91" s="24"/>
      <c r="CUG91" s="24"/>
      <c r="CUH91" s="24"/>
      <c r="CUI91" s="24"/>
      <c r="CUJ91" s="24"/>
      <c r="CUK91" s="24"/>
      <c r="CUL91" s="24"/>
      <c r="CUM91" s="24"/>
      <c r="CUN91" s="24"/>
      <c r="CUO91" s="24"/>
      <c r="CUP91" s="24"/>
      <c r="CUQ91" s="24"/>
      <c r="CUR91" s="24"/>
      <c r="CUS91" s="24"/>
      <c r="CUT91" s="24"/>
      <c r="CUU91" s="24"/>
      <c r="CUV91" s="24"/>
      <c r="CUW91" s="24"/>
      <c r="CUX91" s="24"/>
      <c r="CUY91" s="24"/>
      <c r="CUZ91" s="24"/>
      <c r="CVA91" s="24"/>
      <c r="CVB91" s="24"/>
      <c r="CVC91" s="24"/>
      <c r="CVD91" s="24"/>
      <c r="CVE91" s="24"/>
      <c r="CVF91" s="24"/>
      <c r="CVG91" s="24"/>
      <c r="CVH91" s="24"/>
      <c r="CVI91" s="24"/>
      <c r="CVJ91" s="24"/>
      <c r="CVK91" s="24"/>
      <c r="CVL91" s="24"/>
      <c r="CVM91" s="24"/>
      <c r="CVN91" s="24"/>
      <c r="CVO91" s="24"/>
      <c r="CVP91" s="24"/>
      <c r="CVQ91" s="24"/>
      <c r="CVR91" s="24"/>
      <c r="CVS91" s="24"/>
      <c r="CVT91" s="24"/>
      <c r="CVU91" s="24"/>
      <c r="CVV91" s="24"/>
      <c r="CVW91" s="24"/>
      <c r="CVX91" s="24"/>
      <c r="CVY91" s="24"/>
      <c r="CVZ91" s="24"/>
      <c r="CWA91" s="24"/>
      <c r="CWB91" s="24"/>
      <c r="CWC91" s="24"/>
      <c r="CWD91" s="24"/>
      <c r="CWE91" s="24"/>
      <c r="CWF91" s="24"/>
      <c r="CWG91" s="24"/>
      <c r="CWH91" s="24"/>
      <c r="CWI91" s="24"/>
      <c r="CWJ91" s="24"/>
      <c r="CWK91" s="24"/>
      <c r="CWL91" s="24"/>
      <c r="CWM91" s="24"/>
      <c r="CWN91" s="24"/>
      <c r="CWO91" s="24"/>
      <c r="CWP91" s="24"/>
      <c r="CWQ91" s="24"/>
      <c r="CWR91" s="24"/>
      <c r="CWS91" s="24"/>
      <c r="CWT91" s="24"/>
      <c r="CWU91" s="24"/>
      <c r="CWV91" s="24"/>
      <c r="CWW91" s="24"/>
      <c r="CWX91" s="24"/>
      <c r="CWY91" s="24"/>
      <c r="CWZ91" s="24"/>
      <c r="CXA91" s="24"/>
      <c r="CXB91" s="24"/>
      <c r="CXC91" s="24"/>
      <c r="CXD91" s="24"/>
      <c r="CXE91" s="24"/>
      <c r="CXF91" s="24"/>
      <c r="CXG91" s="24"/>
      <c r="CXH91" s="24"/>
      <c r="CXI91" s="24"/>
      <c r="CXJ91" s="24"/>
      <c r="CXK91" s="24"/>
      <c r="CXL91" s="24"/>
      <c r="CXM91" s="24"/>
      <c r="CXN91" s="24"/>
      <c r="CXO91" s="24"/>
      <c r="CXP91" s="24"/>
      <c r="CXQ91" s="24"/>
      <c r="CXR91" s="24"/>
      <c r="CXS91" s="24"/>
      <c r="CXT91" s="24"/>
      <c r="CXU91" s="24"/>
      <c r="CXV91" s="24"/>
      <c r="CXW91" s="24"/>
      <c r="CXX91" s="24"/>
      <c r="CXY91" s="24"/>
      <c r="CXZ91" s="24"/>
      <c r="CYA91" s="24"/>
      <c r="CYB91" s="24"/>
      <c r="CYC91" s="24"/>
      <c r="CYD91" s="24"/>
      <c r="CYE91" s="24"/>
      <c r="CYF91" s="24"/>
      <c r="CYG91" s="24"/>
      <c r="CYH91" s="24"/>
      <c r="CYI91" s="24"/>
      <c r="CYJ91" s="24"/>
      <c r="CYK91" s="24"/>
      <c r="CYL91" s="24"/>
      <c r="CYM91" s="24"/>
      <c r="CYN91" s="24"/>
      <c r="CYO91" s="24"/>
      <c r="CYP91" s="24"/>
      <c r="CYQ91" s="24"/>
      <c r="CYR91" s="24"/>
      <c r="CYS91" s="24"/>
      <c r="CYT91" s="24"/>
      <c r="CYU91" s="24"/>
      <c r="CYV91" s="24"/>
      <c r="CYW91" s="24"/>
      <c r="CYX91" s="24"/>
      <c r="CYY91" s="24"/>
      <c r="CYZ91" s="24"/>
      <c r="CZA91" s="24"/>
      <c r="CZB91" s="24"/>
      <c r="CZC91" s="24"/>
      <c r="CZD91" s="24"/>
      <c r="CZE91" s="24"/>
      <c r="CZF91" s="24"/>
      <c r="CZG91" s="24"/>
      <c r="CZH91" s="24"/>
      <c r="CZI91" s="24"/>
      <c r="CZJ91" s="24"/>
      <c r="CZK91" s="24"/>
      <c r="CZL91" s="24"/>
      <c r="CZM91" s="24"/>
      <c r="CZN91" s="24"/>
      <c r="CZO91" s="24"/>
      <c r="CZP91" s="24"/>
      <c r="CZQ91" s="24"/>
      <c r="CZR91" s="24"/>
      <c r="CZS91" s="24"/>
      <c r="CZT91" s="24"/>
      <c r="CZU91" s="24"/>
      <c r="CZV91" s="24"/>
      <c r="CZW91" s="24"/>
      <c r="CZX91" s="24"/>
      <c r="CZY91" s="24"/>
      <c r="CZZ91" s="24"/>
      <c r="DAA91" s="24"/>
      <c r="DAB91" s="24"/>
      <c r="DAC91" s="24"/>
      <c r="DAD91" s="24"/>
      <c r="DAE91" s="24"/>
      <c r="DAF91" s="24"/>
      <c r="DAG91" s="24"/>
      <c r="DAH91" s="24"/>
      <c r="DAI91" s="24"/>
      <c r="DAJ91" s="24"/>
      <c r="DAK91" s="24"/>
      <c r="DAL91" s="24"/>
      <c r="DAM91" s="24"/>
      <c r="DAN91" s="24"/>
      <c r="DAO91" s="24"/>
      <c r="DAP91" s="24"/>
      <c r="DAQ91" s="24"/>
      <c r="DAR91" s="24"/>
      <c r="DAS91" s="24"/>
      <c r="DAT91" s="24"/>
      <c r="DAU91" s="24"/>
      <c r="DAV91" s="24"/>
      <c r="DAW91" s="24"/>
      <c r="DAX91" s="24"/>
      <c r="DAY91" s="24"/>
      <c r="DAZ91" s="24"/>
      <c r="DBA91" s="24"/>
      <c r="DBB91" s="24"/>
      <c r="DBC91" s="24"/>
      <c r="DBD91" s="24"/>
      <c r="DBE91" s="24"/>
      <c r="DBF91" s="24"/>
      <c r="DBG91" s="24"/>
      <c r="DBH91" s="24"/>
      <c r="DBI91" s="24"/>
      <c r="DBJ91" s="24"/>
      <c r="DBK91" s="24"/>
      <c r="DBL91" s="24"/>
      <c r="DBM91" s="24"/>
      <c r="DBN91" s="24"/>
      <c r="DBO91" s="24"/>
      <c r="DBP91" s="24"/>
      <c r="DBQ91" s="24"/>
      <c r="DBR91" s="24"/>
      <c r="DBS91" s="24"/>
      <c r="DBT91" s="24"/>
      <c r="DBU91" s="24"/>
      <c r="DBV91" s="24"/>
      <c r="DBW91" s="24"/>
      <c r="DBX91" s="24"/>
      <c r="DBY91" s="24"/>
      <c r="DBZ91" s="24"/>
      <c r="DCA91" s="24"/>
      <c r="DCB91" s="24"/>
      <c r="DCC91" s="24"/>
      <c r="DCD91" s="24"/>
      <c r="DCE91" s="24"/>
      <c r="DCF91" s="24"/>
      <c r="DCG91" s="24"/>
      <c r="DCH91" s="24"/>
      <c r="DCI91" s="24"/>
      <c r="DCJ91" s="24"/>
      <c r="DCK91" s="24"/>
      <c r="DCL91" s="24"/>
      <c r="DCM91" s="24"/>
      <c r="DCN91" s="24"/>
      <c r="DCO91" s="24"/>
      <c r="DCP91" s="24"/>
      <c r="DCQ91" s="24"/>
      <c r="DCR91" s="24"/>
      <c r="DCS91" s="24"/>
      <c r="DCT91" s="24"/>
      <c r="DCU91" s="24"/>
      <c r="DCV91" s="24"/>
      <c r="DCW91" s="24"/>
      <c r="DCX91" s="24"/>
      <c r="DCY91" s="24"/>
      <c r="DCZ91" s="24"/>
      <c r="DDA91" s="24"/>
      <c r="DDB91" s="24"/>
      <c r="DDC91" s="24"/>
      <c r="DDD91" s="24"/>
      <c r="DDE91" s="24"/>
      <c r="DDF91" s="24"/>
      <c r="DDG91" s="24"/>
      <c r="DDH91" s="24"/>
      <c r="DDI91" s="24"/>
      <c r="DDJ91" s="24"/>
      <c r="DDK91" s="24"/>
      <c r="DDL91" s="24"/>
      <c r="DDM91" s="24"/>
      <c r="DDN91" s="24"/>
      <c r="DDO91" s="24"/>
      <c r="DDP91" s="24"/>
      <c r="DDQ91" s="24"/>
      <c r="DDR91" s="24"/>
      <c r="DDS91" s="24"/>
      <c r="DDT91" s="24"/>
      <c r="DDU91" s="24"/>
      <c r="DDV91" s="24"/>
      <c r="DDW91" s="24"/>
      <c r="DDX91" s="24"/>
      <c r="DDY91" s="24"/>
      <c r="DDZ91" s="24"/>
      <c r="DEA91" s="24"/>
      <c r="DEB91" s="24"/>
      <c r="DEC91" s="24"/>
      <c r="DED91" s="24"/>
      <c r="DEE91" s="24"/>
      <c r="DEF91" s="24"/>
      <c r="DEG91" s="24"/>
      <c r="DEH91" s="24"/>
      <c r="DEI91" s="24"/>
      <c r="DEJ91" s="24"/>
      <c r="DEK91" s="24"/>
      <c r="DEL91" s="24"/>
      <c r="DEM91" s="24"/>
      <c r="DEN91" s="24"/>
      <c r="DEO91" s="24"/>
      <c r="DEP91" s="24"/>
      <c r="DEQ91" s="24"/>
      <c r="DER91" s="24"/>
      <c r="DES91" s="24"/>
      <c r="DET91" s="24"/>
      <c r="DEU91" s="24"/>
      <c r="DEV91" s="24"/>
      <c r="DEW91" s="24"/>
      <c r="DEX91" s="24"/>
      <c r="DEY91" s="24"/>
      <c r="DEZ91" s="24"/>
      <c r="DFA91" s="24"/>
      <c r="DFB91" s="24"/>
      <c r="DFC91" s="24"/>
      <c r="DFD91" s="24"/>
      <c r="DFE91" s="24"/>
      <c r="DFF91" s="24"/>
      <c r="DFG91" s="24"/>
      <c r="DFH91" s="24"/>
      <c r="DFI91" s="24"/>
      <c r="DFJ91" s="24"/>
      <c r="DFK91" s="24"/>
      <c r="DFL91" s="24"/>
      <c r="DFM91" s="24"/>
      <c r="DFN91" s="24"/>
      <c r="DFO91" s="24"/>
      <c r="DFP91" s="24"/>
      <c r="DFQ91" s="24"/>
      <c r="DFR91" s="24"/>
      <c r="DFS91" s="24"/>
      <c r="DFT91" s="24"/>
      <c r="DFU91" s="24"/>
      <c r="DFV91" s="24"/>
      <c r="DFW91" s="24"/>
      <c r="DFX91" s="24"/>
      <c r="DFY91" s="24"/>
      <c r="DFZ91" s="24"/>
      <c r="DGA91" s="24"/>
      <c r="DGB91" s="24"/>
      <c r="DGC91" s="24"/>
      <c r="DGD91" s="24"/>
      <c r="DGE91" s="24"/>
      <c r="DGF91" s="24"/>
      <c r="DGG91" s="24"/>
      <c r="DGH91" s="24"/>
      <c r="DGI91" s="24"/>
      <c r="DGJ91" s="24"/>
      <c r="DGK91" s="24"/>
      <c r="DGL91" s="24"/>
      <c r="DGM91" s="24"/>
      <c r="DGN91" s="24"/>
      <c r="DGO91" s="24"/>
      <c r="DGP91" s="24"/>
      <c r="DGQ91" s="24"/>
      <c r="DGR91" s="24"/>
      <c r="DGS91" s="24"/>
      <c r="DGT91" s="24"/>
      <c r="DGU91" s="24"/>
      <c r="DGV91" s="24"/>
      <c r="DGW91" s="24"/>
      <c r="DGX91" s="24"/>
      <c r="DGY91" s="24"/>
      <c r="DGZ91" s="24"/>
      <c r="DHA91" s="24"/>
      <c r="DHB91" s="24"/>
      <c r="DHC91" s="24"/>
      <c r="DHD91" s="24"/>
      <c r="DHE91" s="24"/>
      <c r="DHF91" s="24"/>
      <c r="DHG91" s="24"/>
      <c r="DHH91" s="24"/>
      <c r="DHI91" s="24"/>
      <c r="DHJ91" s="24"/>
      <c r="DHK91" s="24"/>
      <c r="DHL91" s="24"/>
      <c r="DHM91" s="24"/>
      <c r="DHN91" s="24"/>
      <c r="DHO91" s="24"/>
      <c r="DHP91" s="24"/>
      <c r="DHQ91" s="24"/>
      <c r="DHR91" s="24"/>
      <c r="DHS91" s="24"/>
      <c r="DHT91" s="24"/>
      <c r="DHU91" s="24"/>
      <c r="DHV91" s="24"/>
      <c r="DHW91" s="24"/>
      <c r="DHX91" s="24"/>
      <c r="DHY91" s="24"/>
      <c r="DHZ91" s="24"/>
      <c r="DIA91" s="24"/>
      <c r="DIB91" s="24"/>
      <c r="DIC91" s="24"/>
      <c r="DID91" s="24"/>
      <c r="DIE91" s="24"/>
      <c r="DIF91" s="24"/>
      <c r="DIG91" s="24"/>
      <c r="DIH91" s="24"/>
      <c r="DII91" s="24"/>
      <c r="DIJ91" s="24"/>
      <c r="DIK91" s="24"/>
      <c r="DIL91" s="24"/>
      <c r="DIM91" s="24"/>
      <c r="DIN91" s="24"/>
      <c r="DIO91" s="24"/>
      <c r="DIP91" s="24"/>
      <c r="DIQ91" s="24"/>
      <c r="DIR91" s="24"/>
      <c r="DIS91" s="24"/>
      <c r="DIT91" s="24"/>
      <c r="DIU91" s="24"/>
      <c r="DIV91" s="24"/>
      <c r="DIW91" s="24"/>
      <c r="DIX91" s="24"/>
      <c r="DIY91" s="24"/>
      <c r="DIZ91" s="24"/>
      <c r="DJA91" s="24"/>
      <c r="DJB91" s="24"/>
      <c r="DJC91" s="24"/>
      <c r="DJD91" s="24"/>
      <c r="DJE91" s="24"/>
      <c r="DJF91" s="24"/>
      <c r="DJG91" s="24"/>
      <c r="DJH91" s="24"/>
      <c r="DJI91" s="24"/>
      <c r="DJJ91" s="24"/>
      <c r="DJK91" s="24"/>
      <c r="DJL91" s="24"/>
      <c r="DJM91" s="24"/>
      <c r="DJN91" s="24"/>
      <c r="DJO91" s="24"/>
      <c r="DJP91" s="24"/>
      <c r="DJQ91" s="24"/>
      <c r="DJR91" s="24"/>
      <c r="DJS91" s="24"/>
      <c r="DJT91" s="24"/>
      <c r="DJU91" s="24"/>
      <c r="DJV91" s="24"/>
      <c r="DJW91" s="24"/>
      <c r="DJX91" s="24"/>
      <c r="DJY91" s="24"/>
      <c r="DJZ91" s="24"/>
      <c r="DKA91" s="24"/>
      <c r="DKB91" s="24"/>
      <c r="DKC91" s="24"/>
      <c r="DKD91" s="24"/>
      <c r="DKE91" s="24"/>
      <c r="DKF91" s="24"/>
      <c r="DKG91" s="24"/>
      <c r="DKH91" s="24"/>
      <c r="DKI91" s="24"/>
      <c r="DKJ91" s="24"/>
      <c r="DKK91" s="24"/>
      <c r="DKL91" s="24"/>
      <c r="DKM91" s="24"/>
      <c r="DKN91" s="24"/>
      <c r="DKO91" s="24"/>
      <c r="DKP91" s="24"/>
      <c r="DKQ91" s="24"/>
      <c r="DKR91" s="24"/>
      <c r="DKS91" s="24"/>
      <c r="DKT91" s="24"/>
      <c r="DKU91" s="24"/>
      <c r="DKV91" s="24"/>
      <c r="DKW91" s="24"/>
      <c r="DKX91" s="24"/>
      <c r="DKY91" s="24"/>
      <c r="DKZ91" s="24"/>
      <c r="DLA91" s="24"/>
      <c r="DLB91" s="24"/>
      <c r="DLC91" s="24"/>
      <c r="DLD91" s="24"/>
      <c r="DLE91" s="24"/>
      <c r="DLF91" s="24"/>
      <c r="DLG91" s="24"/>
      <c r="DLH91" s="24"/>
      <c r="DLI91" s="24"/>
      <c r="DLJ91" s="24"/>
      <c r="DLK91" s="24"/>
      <c r="DLL91" s="24"/>
      <c r="DLM91" s="24"/>
      <c r="DLN91" s="24"/>
      <c r="DLO91" s="24"/>
      <c r="DLP91" s="24"/>
      <c r="DLQ91" s="24"/>
      <c r="DLR91" s="24"/>
      <c r="DLS91" s="24"/>
      <c r="DLT91" s="24"/>
      <c r="DLU91" s="24"/>
      <c r="DLV91" s="24"/>
      <c r="DLW91" s="24"/>
      <c r="DLX91" s="24"/>
      <c r="DLY91" s="24"/>
      <c r="DLZ91" s="24"/>
      <c r="DMA91" s="24"/>
      <c r="DMB91" s="24"/>
      <c r="DMC91" s="24"/>
      <c r="DMD91" s="24"/>
      <c r="DME91" s="24"/>
      <c r="DMF91" s="24"/>
      <c r="DMG91" s="24"/>
      <c r="DMH91" s="24"/>
      <c r="DMI91" s="24"/>
      <c r="DMJ91" s="24"/>
      <c r="DMK91" s="24"/>
      <c r="DML91" s="24"/>
      <c r="DMM91" s="24"/>
      <c r="DMN91" s="24"/>
      <c r="DMO91" s="24"/>
      <c r="DMP91" s="24"/>
      <c r="DMQ91" s="24"/>
      <c r="DMR91" s="24"/>
      <c r="DMS91" s="24"/>
      <c r="DMT91" s="24"/>
      <c r="DMU91" s="24"/>
      <c r="DMV91" s="24"/>
      <c r="DMW91" s="24"/>
      <c r="DMX91" s="24"/>
      <c r="DMY91" s="24"/>
      <c r="DMZ91" s="24"/>
      <c r="DNA91" s="24"/>
      <c r="DNB91" s="24"/>
      <c r="DNC91" s="24"/>
      <c r="DND91" s="24"/>
      <c r="DNE91" s="24"/>
      <c r="DNF91" s="24"/>
      <c r="DNG91" s="24"/>
      <c r="DNH91" s="24"/>
      <c r="DNI91" s="24"/>
      <c r="DNJ91" s="24"/>
      <c r="DNK91" s="24"/>
      <c r="DNL91" s="24"/>
      <c r="DNM91" s="24"/>
      <c r="DNN91" s="24"/>
      <c r="DNO91" s="24"/>
      <c r="DNP91" s="24"/>
      <c r="DNQ91" s="24"/>
      <c r="DNR91" s="24"/>
      <c r="DNS91" s="24"/>
      <c r="DNT91" s="24"/>
      <c r="DNU91" s="24"/>
      <c r="DNV91" s="24"/>
      <c r="DNW91" s="24"/>
      <c r="DNX91" s="24"/>
      <c r="DNY91" s="24"/>
      <c r="DNZ91" s="24"/>
      <c r="DOA91" s="24"/>
      <c r="DOB91" s="24"/>
      <c r="DOC91" s="24"/>
      <c r="DOD91" s="24"/>
      <c r="DOE91" s="24"/>
      <c r="DOF91" s="24"/>
      <c r="DOG91" s="24"/>
      <c r="DOH91" s="24"/>
      <c r="DOI91" s="24"/>
      <c r="DOJ91" s="24"/>
      <c r="DOK91" s="24"/>
      <c r="DOL91" s="24"/>
      <c r="DOM91" s="24"/>
      <c r="DON91" s="24"/>
      <c r="DOO91" s="24"/>
      <c r="DOP91" s="24"/>
      <c r="DOQ91" s="24"/>
      <c r="DOR91" s="24"/>
      <c r="DOS91" s="24"/>
      <c r="DOT91" s="24"/>
      <c r="DOU91" s="24"/>
      <c r="DOV91" s="24"/>
      <c r="DOW91" s="24"/>
      <c r="DOX91" s="24"/>
      <c r="DOY91" s="24"/>
      <c r="DOZ91" s="24"/>
      <c r="DPA91" s="24"/>
      <c r="DPB91" s="24"/>
      <c r="DPC91" s="24"/>
      <c r="DPD91" s="24"/>
      <c r="DPE91" s="24"/>
      <c r="DPF91" s="24"/>
      <c r="DPG91" s="24"/>
      <c r="DPH91" s="24"/>
      <c r="DPI91" s="24"/>
      <c r="DPJ91" s="24"/>
      <c r="DPK91" s="24"/>
      <c r="DPL91" s="24"/>
      <c r="DPM91" s="24"/>
      <c r="DPN91" s="24"/>
      <c r="DPO91" s="24"/>
      <c r="DPP91" s="24"/>
      <c r="DPQ91" s="24"/>
      <c r="DPR91" s="24"/>
      <c r="DPS91" s="24"/>
      <c r="DPT91" s="24"/>
      <c r="DPU91" s="24"/>
      <c r="DPV91" s="24"/>
      <c r="DPW91" s="24"/>
      <c r="DPX91" s="24"/>
      <c r="DPY91" s="24"/>
      <c r="DPZ91" s="24"/>
      <c r="DQA91" s="24"/>
      <c r="DQB91" s="24"/>
      <c r="DQC91" s="24"/>
      <c r="DQD91" s="24"/>
      <c r="DQE91" s="24"/>
      <c r="DQF91" s="24"/>
      <c r="DQG91" s="24"/>
      <c r="DQH91" s="24"/>
      <c r="DQI91" s="24"/>
      <c r="DQJ91" s="24"/>
      <c r="DQK91" s="24"/>
      <c r="DQL91" s="24"/>
      <c r="DQM91" s="24"/>
      <c r="DQN91" s="24"/>
      <c r="DQO91" s="24"/>
      <c r="DQP91" s="24"/>
      <c r="DQQ91" s="24"/>
      <c r="DQR91" s="24"/>
      <c r="DQS91" s="24"/>
      <c r="DQT91" s="24"/>
      <c r="DQU91" s="24"/>
      <c r="DQV91" s="24"/>
      <c r="DQW91" s="24"/>
      <c r="DQX91" s="24"/>
      <c r="DQY91" s="24"/>
      <c r="DQZ91" s="24"/>
      <c r="DRA91" s="24"/>
      <c r="DRB91" s="24"/>
      <c r="DRC91" s="24"/>
      <c r="DRD91" s="24"/>
      <c r="DRE91" s="24"/>
      <c r="DRF91" s="24"/>
      <c r="DRG91" s="24"/>
      <c r="DRH91" s="24"/>
      <c r="DRI91" s="24"/>
      <c r="DRJ91" s="24"/>
      <c r="DRK91" s="24"/>
      <c r="DRL91" s="24"/>
      <c r="DRM91" s="24"/>
      <c r="DRN91" s="24"/>
      <c r="DRO91" s="24"/>
      <c r="DRP91" s="24"/>
      <c r="DRQ91" s="24"/>
      <c r="DRR91" s="24"/>
      <c r="DRS91" s="24"/>
      <c r="DRT91" s="24"/>
      <c r="DRU91" s="24"/>
      <c r="DRV91" s="24"/>
      <c r="DRW91" s="24"/>
      <c r="DRX91" s="24"/>
      <c r="DRY91" s="24"/>
      <c r="DRZ91" s="24"/>
      <c r="DSA91" s="24"/>
      <c r="DSB91" s="24"/>
      <c r="DSC91" s="24"/>
      <c r="DSD91" s="24"/>
      <c r="DSE91" s="24"/>
      <c r="DSF91" s="24"/>
      <c r="DSG91" s="24"/>
      <c r="DSH91" s="24"/>
      <c r="DSI91" s="24"/>
      <c r="DSJ91" s="24"/>
      <c r="DSK91" s="24"/>
      <c r="DSL91" s="24"/>
      <c r="DSM91" s="24"/>
      <c r="DSN91" s="24"/>
      <c r="DSO91" s="24"/>
      <c r="DSP91" s="24"/>
      <c r="DSQ91" s="24"/>
      <c r="DSR91" s="24"/>
      <c r="DSS91" s="24"/>
      <c r="DST91" s="24"/>
      <c r="DSU91" s="24"/>
      <c r="DSV91" s="24"/>
      <c r="DSW91" s="24"/>
      <c r="DSX91" s="24"/>
      <c r="DSY91" s="24"/>
      <c r="DSZ91" s="24"/>
      <c r="DTA91" s="24"/>
      <c r="DTB91" s="24"/>
      <c r="DTC91" s="24"/>
      <c r="DTD91" s="24"/>
      <c r="DTE91" s="24"/>
      <c r="DTF91" s="24"/>
      <c r="DTG91" s="24"/>
      <c r="DTH91" s="24"/>
      <c r="DTI91" s="24"/>
      <c r="DTJ91" s="24"/>
      <c r="DTK91" s="24"/>
      <c r="DTL91" s="24"/>
      <c r="DTM91" s="24"/>
      <c r="DTN91" s="24"/>
      <c r="DTO91" s="24"/>
      <c r="DTP91" s="24"/>
      <c r="DTQ91" s="24"/>
      <c r="DTR91" s="24"/>
      <c r="DTS91" s="24"/>
      <c r="DTT91" s="24"/>
      <c r="DTU91" s="24"/>
      <c r="DTV91" s="24"/>
      <c r="DTW91" s="24"/>
      <c r="DTX91" s="24"/>
      <c r="DTY91" s="24"/>
      <c r="DTZ91" s="24"/>
      <c r="DUA91" s="24"/>
      <c r="DUB91" s="24"/>
      <c r="DUC91" s="24"/>
      <c r="DUD91" s="24"/>
      <c r="DUE91" s="24"/>
      <c r="DUF91" s="24"/>
      <c r="DUG91" s="24"/>
      <c r="DUH91" s="24"/>
      <c r="DUI91" s="24"/>
      <c r="DUJ91" s="24"/>
      <c r="DUK91" s="24"/>
      <c r="DUL91" s="24"/>
      <c r="DUM91" s="24"/>
      <c r="DUN91" s="24"/>
      <c r="DUO91" s="24"/>
      <c r="DUP91" s="24"/>
      <c r="DUQ91" s="24"/>
      <c r="DUR91" s="24"/>
      <c r="DUS91" s="24"/>
      <c r="DUT91" s="24"/>
      <c r="DUU91" s="24"/>
      <c r="DUV91" s="24"/>
      <c r="DUW91" s="24"/>
      <c r="DUX91" s="24"/>
      <c r="DUY91" s="24"/>
      <c r="DUZ91" s="24"/>
      <c r="DVA91" s="24"/>
      <c r="DVB91" s="24"/>
      <c r="DVC91" s="24"/>
      <c r="DVD91" s="24"/>
      <c r="DVE91" s="24"/>
      <c r="DVF91" s="24"/>
      <c r="DVG91" s="24"/>
      <c r="DVH91" s="24"/>
      <c r="DVI91" s="24"/>
      <c r="DVJ91" s="24"/>
      <c r="DVK91" s="24"/>
      <c r="DVL91" s="24"/>
      <c r="DVM91" s="24"/>
      <c r="DVN91" s="24"/>
      <c r="DVO91" s="24"/>
      <c r="DVP91" s="24"/>
      <c r="DVQ91" s="24"/>
      <c r="DVR91" s="24"/>
      <c r="DVS91" s="24"/>
      <c r="DVT91" s="24"/>
      <c r="DVU91" s="24"/>
      <c r="DVV91" s="24"/>
      <c r="DVW91" s="24"/>
      <c r="DVX91" s="24"/>
      <c r="DVY91" s="24"/>
      <c r="DVZ91" s="24"/>
      <c r="DWA91" s="24"/>
      <c r="DWB91" s="24"/>
      <c r="DWC91" s="24"/>
      <c r="DWD91" s="24"/>
      <c r="DWE91" s="24"/>
      <c r="DWF91" s="24"/>
      <c r="DWG91" s="24"/>
      <c r="DWH91" s="24"/>
      <c r="DWI91" s="24"/>
      <c r="DWJ91" s="24"/>
      <c r="DWK91" s="24"/>
      <c r="DWL91" s="24"/>
      <c r="DWM91" s="24"/>
      <c r="DWN91" s="24"/>
      <c r="DWO91" s="24"/>
      <c r="DWP91" s="24"/>
      <c r="DWQ91" s="24"/>
      <c r="DWR91" s="24"/>
      <c r="DWS91" s="24"/>
      <c r="DWT91" s="24"/>
      <c r="DWU91" s="24"/>
      <c r="DWV91" s="24"/>
      <c r="DWW91" s="24"/>
      <c r="DWX91" s="24"/>
      <c r="DWY91" s="24"/>
      <c r="DWZ91" s="24"/>
      <c r="DXA91" s="24"/>
      <c r="DXB91" s="24"/>
      <c r="DXC91" s="24"/>
      <c r="DXD91" s="24"/>
      <c r="DXE91" s="24"/>
      <c r="DXF91" s="24"/>
      <c r="DXG91" s="24"/>
      <c r="DXH91" s="24"/>
      <c r="DXI91" s="24"/>
      <c r="DXJ91" s="24"/>
      <c r="DXK91" s="24"/>
      <c r="DXL91" s="24"/>
      <c r="DXM91" s="24"/>
      <c r="DXN91" s="24"/>
      <c r="DXO91" s="24"/>
      <c r="DXP91" s="24"/>
      <c r="DXQ91" s="24"/>
      <c r="DXR91" s="24"/>
      <c r="DXS91" s="24"/>
      <c r="DXT91" s="24"/>
      <c r="DXU91" s="24"/>
      <c r="DXV91" s="24"/>
      <c r="DXW91" s="24"/>
      <c r="DXX91" s="24"/>
      <c r="DXY91" s="24"/>
      <c r="DXZ91" s="24"/>
      <c r="DYA91" s="24"/>
      <c r="DYB91" s="24"/>
      <c r="DYC91" s="24"/>
      <c r="DYD91" s="24"/>
      <c r="DYE91" s="24"/>
      <c r="DYF91" s="24"/>
      <c r="DYG91" s="24"/>
      <c r="DYH91" s="24"/>
      <c r="DYI91" s="24"/>
      <c r="DYJ91" s="24"/>
      <c r="DYK91" s="24"/>
      <c r="DYL91" s="24"/>
      <c r="DYM91" s="24"/>
      <c r="DYN91" s="24"/>
      <c r="DYO91" s="24"/>
      <c r="DYP91" s="24"/>
      <c r="DYQ91" s="24"/>
      <c r="DYR91" s="24"/>
      <c r="DYS91" s="24"/>
      <c r="DYT91" s="24"/>
      <c r="DYU91" s="24"/>
      <c r="DYV91" s="24"/>
      <c r="DYW91" s="24"/>
      <c r="DYX91" s="24"/>
      <c r="DYY91" s="24"/>
      <c r="DYZ91" s="24"/>
      <c r="DZA91" s="24"/>
      <c r="DZB91" s="24"/>
      <c r="DZC91" s="24"/>
      <c r="DZD91" s="24"/>
      <c r="DZE91" s="24"/>
      <c r="DZF91" s="24"/>
      <c r="DZG91" s="24"/>
      <c r="DZH91" s="24"/>
      <c r="DZI91" s="24"/>
      <c r="DZJ91" s="24"/>
      <c r="DZK91" s="24"/>
      <c r="DZL91" s="24"/>
      <c r="DZM91" s="24"/>
      <c r="DZN91" s="24"/>
      <c r="DZO91" s="24"/>
      <c r="DZP91" s="24"/>
      <c r="DZQ91" s="24"/>
      <c r="DZR91" s="24"/>
      <c r="DZS91" s="24"/>
      <c r="DZT91" s="24"/>
      <c r="DZU91" s="24"/>
      <c r="DZV91" s="24"/>
      <c r="DZW91" s="24"/>
      <c r="DZX91" s="24"/>
      <c r="DZY91" s="24"/>
      <c r="DZZ91" s="24"/>
      <c r="EAA91" s="24"/>
      <c r="EAB91" s="24"/>
      <c r="EAC91" s="24"/>
      <c r="EAD91" s="24"/>
      <c r="EAE91" s="24"/>
      <c r="EAF91" s="24"/>
      <c r="EAG91" s="24"/>
      <c r="EAH91" s="24"/>
      <c r="EAI91" s="24"/>
      <c r="EAJ91" s="24"/>
      <c r="EAK91" s="24"/>
      <c r="EAL91" s="24"/>
      <c r="EAM91" s="24"/>
      <c r="EAN91" s="24"/>
      <c r="EAO91" s="24"/>
      <c r="EAP91" s="24"/>
      <c r="EAQ91" s="24"/>
      <c r="EAR91" s="24"/>
      <c r="EAS91" s="24"/>
      <c r="EAT91" s="24"/>
      <c r="EAU91" s="24"/>
      <c r="EAV91" s="24"/>
      <c r="EAW91" s="24"/>
      <c r="EAX91" s="24"/>
      <c r="EAY91" s="24"/>
      <c r="EAZ91" s="24"/>
      <c r="EBA91" s="24"/>
      <c r="EBB91" s="24"/>
      <c r="EBC91" s="24"/>
      <c r="EBD91" s="24"/>
      <c r="EBE91" s="24"/>
      <c r="EBF91" s="24"/>
      <c r="EBG91" s="24"/>
      <c r="EBH91" s="24"/>
      <c r="EBI91" s="24"/>
      <c r="EBJ91" s="24"/>
      <c r="EBK91" s="24"/>
      <c r="EBL91" s="24"/>
      <c r="EBM91" s="24"/>
      <c r="EBN91" s="24"/>
      <c r="EBO91" s="24"/>
      <c r="EBP91" s="24"/>
      <c r="EBQ91" s="24"/>
      <c r="EBR91" s="24"/>
      <c r="EBS91" s="24"/>
      <c r="EBT91" s="24"/>
      <c r="EBU91" s="24"/>
      <c r="EBV91" s="24"/>
      <c r="EBW91" s="24"/>
      <c r="EBX91" s="24"/>
      <c r="EBY91" s="24"/>
      <c r="EBZ91" s="24"/>
      <c r="ECA91" s="24"/>
      <c r="ECB91" s="24"/>
      <c r="ECC91" s="24"/>
      <c r="ECD91" s="24"/>
      <c r="ECE91" s="24"/>
      <c r="ECF91" s="24"/>
      <c r="ECG91" s="24"/>
      <c r="ECH91" s="24"/>
      <c r="ECI91" s="24"/>
      <c r="ECJ91" s="24"/>
      <c r="ECK91" s="24"/>
      <c r="ECL91" s="24"/>
      <c r="ECM91" s="24"/>
      <c r="ECN91" s="24"/>
      <c r="ECO91" s="24"/>
      <c r="ECP91" s="24"/>
      <c r="ECQ91" s="24"/>
      <c r="ECR91" s="24"/>
      <c r="ECS91" s="24"/>
      <c r="ECT91" s="24"/>
      <c r="ECU91" s="24"/>
      <c r="ECV91" s="24"/>
      <c r="ECW91" s="24"/>
      <c r="ECX91" s="24"/>
      <c r="ECY91" s="24"/>
      <c r="ECZ91" s="24"/>
      <c r="EDA91" s="24"/>
      <c r="EDB91" s="24"/>
      <c r="EDC91" s="24"/>
      <c r="EDD91" s="24"/>
      <c r="EDE91" s="24"/>
      <c r="EDF91" s="24"/>
      <c r="EDG91" s="24"/>
      <c r="EDH91" s="24"/>
      <c r="EDI91" s="24"/>
      <c r="EDJ91" s="24"/>
      <c r="EDK91" s="24"/>
      <c r="EDL91" s="24"/>
      <c r="EDM91" s="24"/>
      <c r="EDN91" s="24"/>
      <c r="EDO91" s="24"/>
      <c r="EDP91" s="24"/>
      <c r="EDQ91" s="24"/>
      <c r="EDR91" s="24"/>
      <c r="EDS91" s="24"/>
      <c r="EDT91" s="24"/>
      <c r="EDU91" s="24"/>
      <c r="EDV91" s="24"/>
      <c r="EDW91" s="24"/>
      <c r="EDX91" s="24"/>
      <c r="EDY91" s="24"/>
      <c r="EDZ91" s="24"/>
      <c r="EEA91" s="24"/>
      <c r="EEB91" s="24"/>
      <c r="EEC91" s="24"/>
      <c r="EED91" s="24"/>
      <c r="EEE91" s="24"/>
      <c r="EEF91" s="24"/>
      <c r="EEG91" s="24"/>
      <c r="EEH91" s="24"/>
      <c r="EEI91" s="24"/>
      <c r="EEJ91" s="24"/>
      <c r="EEK91" s="24"/>
      <c r="EEL91" s="24"/>
      <c r="EEM91" s="24"/>
      <c r="EEN91" s="24"/>
      <c r="EEO91" s="24"/>
      <c r="EEP91" s="24"/>
      <c r="EEQ91" s="24"/>
      <c r="EER91" s="24"/>
      <c r="EES91" s="24"/>
      <c r="EET91" s="24"/>
      <c r="EEU91" s="24"/>
      <c r="EEV91" s="24"/>
      <c r="EEW91" s="24"/>
      <c r="EEX91" s="24"/>
      <c r="EEY91" s="24"/>
      <c r="EEZ91" s="24"/>
      <c r="EFA91" s="24"/>
      <c r="EFB91" s="24"/>
      <c r="EFC91" s="24"/>
      <c r="EFD91" s="24"/>
      <c r="EFE91" s="24"/>
      <c r="EFF91" s="24"/>
      <c r="EFG91" s="24"/>
      <c r="EFH91" s="24"/>
      <c r="EFI91" s="24"/>
      <c r="EFJ91" s="24"/>
      <c r="EFK91" s="24"/>
      <c r="EFL91" s="24"/>
      <c r="EFM91" s="24"/>
      <c r="EFN91" s="24"/>
      <c r="EFO91" s="24"/>
      <c r="EFP91" s="24"/>
      <c r="EFQ91" s="24"/>
      <c r="EFR91" s="24"/>
      <c r="EFS91" s="24"/>
      <c r="EFT91" s="24"/>
      <c r="EFU91" s="24"/>
      <c r="EFV91" s="24"/>
      <c r="EFW91" s="24"/>
      <c r="EFX91" s="24"/>
      <c r="EFY91" s="24"/>
      <c r="EFZ91" s="24"/>
      <c r="EGA91" s="24"/>
      <c r="EGB91" s="24"/>
      <c r="EGC91" s="24"/>
      <c r="EGD91" s="24"/>
      <c r="EGE91" s="24"/>
      <c r="EGF91" s="24"/>
      <c r="EGG91" s="24"/>
      <c r="EGH91" s="24"/>
      <c r="EGI91" s="24"/>
      <c r="EGJ91" s="24"/>
      <c r="EGK91" s="24"/>
      <c r="EGL91" s="24"/>
      <c r="EGM91" s="24"/>
      <c r="EGN91" s="24"/>
      <c r="EGO91" s="24"/>
      <c r="EGP91" s="24"/>
      <c r="EGQ91" s="24"/>
      <c r="EGR91" s="24"/>
      <c r="EGS91" s="24"/>
      <c r="EGT91" s="24"/>
      <c r="EGU91" s="24"/>
      <c r="EGV91" s="24"/>
      <c r="EGW91" s="24"/>
      <c r="EGX91" s="24"/>
      <c r="EGY91" s="24"/>
      <c r="EGZ91" s="24"/>
      <c r="EHA91" s="24"/>
      <c r="EHB91" s="24"/>
      <c r="EHC91" s="24"/>
      <c r="EHD91" s="24"/>
      <c r="EHE91" s="24"/>
      <c r="EHF91" s="24"/>
      <c r="EHG91" s="24"/>
      <c r="EHH91" s="24"/>
      <c r="EHI91" s="24"/>
      <c r="EHJ91" s="24"/>
      <c r="EHK91" s="24"/>
      <c r="EHL91" s="24"/>
      <c r="EHM91" s="24"/>
      <c r="EHN91" s="24"/>
      <c r="EHO91" s="24"/>
      <c r="EHP91" s="24"/>
      <c r="EHQ91" s="24"/>
      <c r="EHR91" s="24"/>
      <c r="EHS91" s="24"/>
      <c r="EHT91" s="24"/>
      <c r="EHU91" s="24"/>
      <c r="EHV91" s="24"/>
      <c r="EHW91" s="24"/>
      <c r="EHX91" s="24"/>
      <c r="EHY91" s="24"/>
      <c r="EHZ91" s="24"/>
      <c r="EIA91" s="24"/>
      <c r="EIB91" s="24"/>
      <c r="EIC91" s="24"/>
      <c r="EID91" s="24"/>
      <c r="EIE91" s="24"/>
      <c r="EIF91" s="24"/>
      <c r="EIG91" s="24"/>
      <c r="EIH91" s="24"/>
      <c r="EII91" s="24"/>
      <c r="EIJ91" s="24"/>
      <c r="EIK91" s="24"/>
      <c r="EIL91" s="24"/>
      <c r="EIM91" s="24"/>
      <c r="EIN91" s="24"/>
      <c r="EIO91" s="24"/>
      <c r="EIP91" s="24"/>
      <c r="EIQ91" s="24"/>
      <c r="EIR91" s="24"/>
      <c r="EIS91" s="24"/>
      <c r="EIT91" s="24"/>
      <c r="EIU91" s="24"/>
      <c r="EIV91" s="24"/>
      <c r="EIW91" s="24"/>
      <c r="EIX91" s="24"/>
      <c r="EIY91" s="24"/>
      <c r="EIZ91" s="24"/>
      <c r="EJA91" s="24"/>
      <c r="EJB91" s="24"/>
      <c r="EJC91" s="24"/>
      <c r="EJD91" s="24"/>
      <c r="EJE91" s="24"/>
      <c r="EJF91" s="24"/>
      <c r="EJG91" s="24"/>
      <c r="EJH91" s="24"/>
      <c r="EJI91" s="24"/>
      <c r="EJJ91" s="24"/>
      <c r="EJK91" s="24"/>
      <c r="EJL91" s="24"/>
      <c r="EJM91" s="24"/>
      <c r="EJN91" s="24"/>
      <c r="EJO91" s="24"/>
      <c r="EJP91" s="24"/>
      <c r="EJQ91" s="24"/>
      <c r="EJR91" s="24"/>
      <c r="EJS91" s="24"/>
      <c r="EJT91" s="24"/>
      <c r="EJU91" s="24"/>
      <c r="EJV91" s="24"/>
      <c r="EJW91" s="24"/>
      <c r="EJX91" s="24"/>
      <c r="EJY91" s="24"/>
      <c r="EJZ91" s="24"/>
      <c r="EKA91" s="24"/>
      <c r="EKB91" s="24"/>
      <c r="EKC91" s="24"/>
      <c r="EKD91" s="24"/>
      <c r="EKE91" s="24"/>
      <c r="EKF91" s="24"/>
      <c r="EKG91" s="24"/>
      <c r="EKH91" s="24"/>
      <c r="EKI91" s="24"/>
      <c r="EKJ91" s="24"/>
      <c r="EKK91" s="24"/>
      <c r="EKL91" s="24"/>
      <c r="EKM91" s="24"/>
      <c r="EKN91" s="24"/>
      <c r="EKO91" s="24"/>
      <c r="EKP91" s="24"/>
      <c r="EKQ91" s="24"/>
      <c r="EKR91" s="24"/>
      <c r="EKS91" s="24"/>
      <c r="EKT91" s="24"/>
      <c r="EKU91" s="24"/>
      <c r="EKV91" s="24"/>
      <c r="EKW91" s="24"/>
      <c r="EKX91" s="24"/>
      <c r="EKY91" s="24"/>
      <c r="EKZ91" s="24"/>
      <c r="ELA91" s="24"/>
      <c r="ELB91" s="24"/>
      <c r="ELC91" s="24"/>
      <c r="ELD91" s="24"/>
      <c r="ELE91" s="24"/>
      <c r="ELF91" s="24"/>
      <c r="ELG91" s="24"/>
      <c r="ELH91" s="24"/>
      <c r="ELI91" s="24"/>
      <c r="ELJ91" s="24"/>
      <c r="ELK91" s="24"/>
      <c r="ELL91" s="24"/>
      <c r="ELM91" s="24"/>
      <c r="ELN91" s="24"/>
      <c r="ELO91" s="24"/>
      <c r="ELP91" s="24"/>
      <c r="ELQ91" s="24"/>
      <c r="ELR91" s="24"/>
      <c r="ELS91" s="24"/>
      <c r="ELT91" s="24"/>
      <c r="ELU91" s="24"/>
      <c r="ELV91" s="24"/>
      <c r="ELW91" s="24"/>
      <c r="ELX91" s="24"/>
      <c r="ELY91" s="24"/>
      <c r="ELZ91" s="24"/>
      <c r="EMA91" s="24"/>
      <c r="EMB91" s="24"/>
      <c r="EMC91" s="24"/>
      <c r="EMD91" s="24"/>
      <c r="EME91" s="24"/>
      <c r="EMF91" s="24"/>
      <c r="EMG91" s="24"/>
      <c r="EMH91" s="24"/>
      <c r="EMI91" s="24"/>
      <c r="EMJ91" s="24"/>
      <c r="EMK91" s="24"/>
      <c r="EML91" s="24"/>
      <c r="EMM91" s="24"/>
      <c r="EMN91" s="24"/>
      <c r="EMO91" s="24"/>
      <c r="EMP91" s="24"/>
      <c r="EMQ91" s="24"/>
      <c r="EMR91" s="24"/>
      <c r="EMS91" s="24"/>
      <c r="EMT91" s="24"/>
      <c r="EMU91" s="24"/>
      <c r="EMV91" s="24"/>
      <c r="EMW91" s="24"/>
      <c r="EMX91" s="24"/>
      <c r="EMY91" s="24"/>
      <c r="EMZ91" s="24"/>
      <c r="ENA91" s="24"/>
      <c r="ENB91" s="24"/>
      <c r="ENC91" s="24"/>
      <c r="END91" s="24"/>
      <c r="ENE91" s="24"/>
      <c r="ENF91" s="24"/>
      <c r="ENG91" s="24"/>
      <c r="ENH91" s="24"/>
      <c r="ENI91" s="24"/>
      <c r="ENJ91" s="24"/>
      <c r="ENK91" s="24"/>
      <c r="ENL91" s="24"/>
      <c r="ENM91" s="24"/>
      <c r="ENN91" s="24"/>
      <c r="ENO91" s="24"/>
      <c r="ENP91" s="24"/>
      <c r="ENQ91" s="24"/>
      <c r="ENR91" s="24"/>
      <c r="ENS91" s="24"/>
      <c r="ENT91" s="24"/>
      <c r="ENU91" s="24"/>
      <c r="ENV91" s="24"/>
      <c r="ENW91" s="24"/>
      <c r="ENX91" s="24"/>
      <c r="ENY91" s="24"/>
      <c r="ENZ91" s="24"/>
      <c r="EOA91" s="24"/>
      <c r="EOB91" s="24"/>
      <c r="EOC91" s="24"/>
      <c r="EOD91" s="24"/>
      <c r="EOE91" s="24"/>
      <c r="EOF91" s="24"/>
      <c r="EOG91" s="24"/>
      <c r="EOH91" s="24"/>
      <c r="EOI91" s="24"/>
      <c r="EOJ91" s="24"/>
      <c r="EOK91" s="24"/>
      <c r="EOL91" s="24"/>
      <c r="EOM91" s="24"/>
      <c r="EON91" s="24"/>
      <c r="EOO91" s="24"/>
      <c r="EOP91" s="24"/>
      <c r="EOQ91" s="24"/>
      <c r="EOR91" s="24"/>
      <c r="EOS91" s="24"/>
      <c r="EOT91" s="24"/>
      <c r="EOU91" s="24"/>
      <c r="EOV91" s="24"/>
      <c r="EOW91" s="24"/>
      <c r="EOX91" s="24"/>
      <c r="EOY91" s="24"/>
      <c r="EOZ91" s="24"/>
      <c r="EPA91" s="24"/>
      <c r="EPB91" s="24"/>
      <c r="EPC91" s="24"/>
      <c r="EPD91" s="24"/>
      <c r="EPE91" s="24"/>
      <c r="EPF91" s="24"/>
      <c r="EPG91" s="24"/>
      <c r="EPH91" s="24"/>
      <c r="EPI91" s="24"/>
      <c r="EPJ91" s="24"/>
      <c r="EPK91" s="24"/>
      <c r="EPL91" s="24"/>
      <c r="EPM91" s="24"/>
      <c r="EPN91" s="24"/>
      <c r="EPO91" s="24"/>
      <c r="EPP91" s="24"/>
      <c r="EPQ91" s="24"/>
      <c r="EPR91" s="24"/>
      <c r="EPS91" s="24"/>
      <c r="EPT91" s="24"/>
      <c r="EPU91" s="24"/>
      <c r="EPV91" s="24"/>
      <c r="EPW91" s="24"/>
      <c r="EPX91" s="24"/>
      <c r="EPY91" s="24"/>
      <c r="EPZ91" s="24"/>
      <c r="EQA91" s="24"/>
      <c r="EQB91" s="24"/>
      <c r="EQC91" s="24"/>
      <c r="EQD91" s="24"/>
      <c r="EQE91" s="24"/>
      <c r="EQF91" s="24"/>
      <c r="EQG91" s="24"/>
      <c r="EQH91" s="24"/>
      <c r="EQI91" s="24"/>
      <c r="EQJ91" s="24"/>
      <c r="EQK91" s="24"/>
      <c r="EQL91" s="24"/>
      <c r="EQM91" s="24"/>
      <c r="EQN91" s="24"/>
      <c r="EQO91" s="24"/>
      <c r="EQP91" s="24"/>
      <c r="EQQ91" s="24"/>
      <c r="EQR91" s="24"/>
      <c r="EQS91" s="24"/>
      <c r="EQT91" s="24"/>
      <c r="EQU91" s="24"/>
      <c r="EQV91" s="24"/>
      <c r="EQW91" s="24"/>
      <c r="EQX91" s="24"/>
      <c r="EQY91" s="24"/>
      <c r="EQZ91" s="24"/>
      <c r="ERA91" s="24"/>
      <c r="ERB91" s="24"/>
      <c r="ERC91" s="24"/>
      <c r="ERD91" s="24"/>
      <c r="ERE91" s="24"/>
      <c r="ERF91" s="24"/>
      <c r="ERG91" s="24"/>
      <c r="ERH91" s="24"/>
      <c r="ERI91" s="24"/>
      <c r="ERJ91" s="24"/>
      <c r="ERK91" s="24"/>
      <c r="ERL91" s="24"/>
      <c r="ERM91" s="24"/>
      <c r="ERN91" s="24"/>
      <c r="ERO91" s="24"/>
      <c r="ERP91" s="24"/>
      <c r="ERQ91" s="24"/>
      <c r="ERR91" s="24"/>
      <c r="ERS91" s="24"/>
      <c r="ERT91" s="24"/>
      <c r="ERU91" s="24"/>
      <c r="ERV91" s="24"/>
      <c r="ERW91" s="24"/>
      <c r="ERX91" s="24"/>
      <c r="ERY91" s="24"/>
      <c r="ERZ91" s="24"/>
      <c r="ESA91" s="24"/>
      <c r="ESB91" s="24"/>
      <c r="ESC91" s="24"/>
      <c r="ESD91" s="24"/>
      <c r="ESE91" s="24"/>
      <c r="ESF91" s="24"/>
      <c r="ESG91" s="24"/>
      <c r="ESH91" s="24"/>
      <c r="ESI91" s="24"/>
      <c r="ESJ91" s="24"/>
      <c r="ESK91" s="24"/>
      <c r="ESL91" s="24"/>
      <c r="ESM91" s="24"/>
      <c r="ESN91" s="24"/>
      <c r="ESO91" s="24"/>
      <c r="ESP91" s="24"/>
      <c r="ESQ91" s="24"/>
      <c r="ESR91" s="24"/>
      <c r="ESS91" s="24"/>
      <c r="EST91" s="24"/>
      <c r="ESU91" s="24"/>
      <c r="ESV91" s="24"/>
      <c r="ESW91" s="24"/>
      <c r="ESX91" s="24"/>
      <c r="ESY91" s="24"/>
      <c r="ESZ91" s="24"/>
      <c r="ETA91" s="24"/>
      <c r="ETB91" s="24"/>
      <c r="ETC91" s="24"/>
      <c r="ETD91" s="24"/>
      <c r="ETE91" s="24"/>
      <c r="ETF91" s="24"/>
      <c r="ETG91" s="24"/>
      <c r="ETH91" s="24"/>
      <c r="ETI91" s="24"/>
      <c r="ETJ91" s="24"/>
      <c r="ETK91" s="24"/>
      <c r="ETL91" s="24"/>
      <c r="ETM91" s="24"/>
      <c r="ETN91" s="24"/>
      <c r="ETO91" s="24"/>
      <c r="ETP91" s="24"/>
      <c r="ETQ91" s="24"/>
      <c r="ETR91" s="24"/>
      <c r="ETS91" s="24"/>
      <c r="ETT91" s="24"/>
      <c r="ETU91" s="24"/>
      <c r="ETV91" s="24"/>
      <c r="ETW91" s="24"/>
      <c r="ETX91" s="24"/>
      <c r="ETY91" s="24"/>
      <c r="ETZ91" s="24"/>
      <c r="EUA91" s="24"/>
      <c r="EUB91" s="24"/>
      <c r="EUC91" s="24"/>
      <c r="EUD91" s="24"/>
      <c r="EUE91" s="24"/>
      <c r="EUF91" s="24"/>
      <c r="EUG91" s="24"/>
      <c r="EUH91" s="24"/>
      <c r="EUI91" s="24"/>
      <c r="EUJ91" s="24"/>
      <c r="EUK91" s="24"/>
      <c r="EUL91" s="24"/>
      <c r="EUM91" s="24"/>
      <c r="EUN91" s="24"/>
      <c r="EUO91" s="24"/>
      <c r="EUP91" s="24"/>
      <c r="EUQ91" s="24"/>
      <c r="EUR91" s="24"/>
      <c r="EUS91" s="24"/>
      <c r="EUT91" s="24"/>
      <c r="EUU91" s="24"/>
      <c r="EUV91" s="24"/>
      <c r="EUW91" s="24"/>
      <c r="EUX91" s="24"/>
      <c r="EUY91" s="24"/>
      <c r="EUZ91" s="24"/>
      <c r="EVA91" s="24"/>
      <c r="EVB91" s="24"/>
      <c r="EVC91" s="24"/>
      <c r="EVD91" s="24"/>
      <c r="EVE91" s="24"/>
      <c r="EVF91" s="24"/>
      <c r="EVG91" s="24"/>
      <c r="EVH91" s="24"/>
      <c r="EVI91" s="24"/>
      <c r="EVJ91" s="24"/>
      <c r="EVK91" s="24"/>
      <c r="EVL91" s="24"/>
      <c r="EVM91" s="24"/>
      <c r="EVN91" s="24"/>
      <c r="EVO91" s="24"/>
      <c r="EVP91" s="24"/>
      <c r="EVQ91" s="24"/>
      <c r="EVR91" s="24"/>
      <c r="EVS91" s="24"/>
      <c r="EVT91" s="24"/>
      <c r="EVU91" s="24"/>
      <c r="EVV91" s="24"/>
      <c r="EVW91" s="24"/>
      <c r="EVX91" s="24"/>
      <c r="EVY91" s="24"/>
      <c r="EVZ91" s="24"/>
      <c r="EWA91" s="24"/>
      <c r="EWB91" s="24"/>
      <c r="EWC91" s="24"/>
      <c r="EWD91" s="24"/>
      <c r="EWE91" s="24"/>
      <c r="EWF91" s="24"/>
      <c r="EWG91" s="24"/>
      <c r="EWH91" s="24"/>
      <c r="EWI91" s="24"/>
      <c r="EWJ91" s="24"/>
      <c r="EWK91" s="24"/>
      <c r="EWL91" s="24"/>
      <c r="EWM91" s="24"/>
      <c r="EWN91" s="24"/>
      <c r="EWO91" s="24"/>
      <c r="EWP91" s="24"/>
      <c r="EWQ91" s="24"/>
      <c r="EWR91" s="24"/>
      <c r="EWS91" s="24"/>
      <c r="EWT91" s="24"/>
      <c r="EWU91" s="24"/>
      <c r="EWV91" s="24"/>
      <c r="EWW91" s="24"/>
      <c r="EWX91" s="24"/>
      <c r="EWY91" s="24"/>
      <c r="EWZ91" s="24"/>
      <c r="EXA91" s="24"/>
      <c r="EXB91" s="24"/>
      <c r="EXC91" s="24"/>
      <c r="EXD91" s="24"/>
      <c r="EXE91" s="24"/>
      <c r="EXF91" s="24"/>
      <c r="EXG91" s="24"/>
      <c r="EXH91" s="24"/>
      <c r="EXI91" s="24"/>
      <c r="EXJ91" s="24"/>
      <c r="EXK91" s="24"/>
      <c r="EXL91" s="24"/>
      <c r="EXM91" s="24"/>
      <c r="EXN91" s="24"/>
      <c r="EXO91" s="24"/>
      <c r="EXP91" s="24"/>
      <c r="EXQ91" s="24"/>
      <c r="EXR91" s="24"/>
      <c r="EXS91" s="24"/>
      <c r="EXT91" s="24"/>
      <c r="EXU91" s="24"/>
      <c r="EXV91" s="24"/>
      <c r="EXW91" s="24"/>
      <c r="EXX91" s="24"/>
      <c r="EXY91" s="24"/>
      <c r="EXZ91" s="24"/>
      <c r="EYA91" s="24"/>
      <c r="EYB91" s="24"/>
      <c r="EYC91" s="24"/>
      <c r="EYD91" s="24"/>
      <c r="EYE91" s="24"/>
      <c r="EYF91" s="24"/>
      <c r="EYG91" s="24"/>
      <c r="EYH91" s="24"/>
      <c r="EYI91" s="24"/>
      <c r="EYJ91" s="24"/>
      <c r="EYK91" s="24"/>
      <c r="EYL91" s="24"/>
      <c r="EYM91" s="24"/>
      <c r="EYN91" s="24"/>
      <c r="EYO91" s="24"/>
      <c r="EYP91" s="24"/>
      <c r="EYQ91" s="24"/>
      <c r="EYR91" s="24"/>
      <c r="EYS91" s="24"/>
      <c r="EYT91" s="24"/>
      <c r="EYU91" s="24"/>
      <c r="EYV91" s="24"/>
      <c r="EYW91" s="24"/>
      <c r="EYX91" s="24"/>
      <c r="EYY91" s="24"/>
      <c r="EYZ91" s="24"/>
      <c r="EZA91" s="24"/>
      <c r="EZB91" s="24"/>
      <c r="EZC91" s="24"/>
      <c r="EZD91" s="24"/>
      <c r="EZE91" s="24"/>
      <c r="EZF91" s="24"/>
      <c r="EZG91" s="24"/>
      <c r="EZH91" s="24"/>
      <c r="EZI91" s="24"/>
      <c r="EZJ91" s="24"/>
      <c r="EZK91" s="24"/>
      <c r="EZL91" s="24"/>
      <c r="EZM91" s="24"/>
      <c r="EZN91" s="24"/>
      <c r="EZO91" s="24"/>
      <c r="EZP91" s="24"/>
      <c r="EZQ91" s="24"/>
      <c r="EZR91" s="24"/>
      <c r="EZS91" s="24"/>
      <c r="EZT91" s="24"/>
      <c r="EZU91" s="24"/>
      <c r="EZV91" s="24"/>
      <c r="EZW91" s="24"/>
      <c r="EZX91" s="24"/>
      <c r="EZY91" s="24"/>
      <c r="EZZ91" s="24"/>
      <c r="FAA91" s="24"/>
      <c r="FAB91" s="24"/>
      <c r="FAC91" s="24"/>
      <c r="FAD91" s="24"/>
      <c r="FAE91" s="24"/>
      <c r="FAF91" s="24"/>
      <c r="FAG91" s="24"/>
      <c r="FAH91" s="24"/>
      <c r="FAI91" s="24"/>
      <c r="FAJ91" s="24"/>
      <c r="FAK91" s="24"/>
      <c r="FAL91" s="24"/>
      <c r="FAM91" s="24"/>
      <c r="FAN91" s="24"/>
      <c r="FAO91" s="24"/>
      <c r="FAP91" s="24"/>
      <c r="FAQ91" s="24"/>
      <c r="FAR91" s="24"/>
      <c r="FAS91" s="24"/>
      <c r="FAT91" s="24"/>
      <c r="FAU91" s="24"/>
      <c r="FAV91" s="24"/>
      <c r="FAW91" s="24"/>
      <c r="FAX91" s="24"/>
      <c r="FAY91" s="24"/>
      <c r="FAZ91" s="24"/>
      <c r="FBA91" s="24"/>
      <c r="FBB91" s="24"/>
      <c r="FBC91" s="24"/>
      <c r="FBD91" s="24"/>
      <c r="FBE91" s="24"/>
      <c r="FBF91" s="24"/>
      <c r="FBG91" s="24"/>
      <c r="FBH91" s="24"/>
      <c r="FBI91" s="24"/>
      <c r="FBJ91" s="24"/>
      <c r="FBK91" s="24"/>
      <c r="FBL91" s="24"/>
      <c r="FBM91" s="24"/>
      <c r="FBN91" s="24"/>
      <c r="FBO91" s="24"/>
      <c r="FBP91" s="24"/>
      <c r="FBQ91" s="24"/>
      <c r="FBR91" s="24"/>
      <c r="FBS91" s="24"/>
      <c r="FBT91" s="24"/>
      <c r="FBU91" s="24"/>
      <c r="FBV91" s="24"/>
      <c r="FBW91" s="24"/>
      <c r="FBX91" s="24"/>
      <c r="FBY91" s="24"/>
      <c r="FBZ91" s="24"/>
      <c r="FCA91" s="24"/>
      <c r="FCB91" s="24"/>
      <c r="FCC91" s="24"/>
      <c r="FCD91" s="24"/>
      <c r="FCE91" s="24"/>
      <c r="FCF91" s="24"/>
      <c r="FCG91" s="24"/>
      <c r="FCH91" s="24"/>
      <c r="FCI91" s="24"/>
      <c r="FCJ91" s="24"/>
      <c r="FCK91" s="24"/>
      <c r="FCL91" s="24"/>
      <c r="FCM91" s="24"/>
      <c r="FCN91" s="24"/>
      <c r="FCO91" s="24"/>
      <c r="FCP91" s="24"/>
      <c r="FCQ91" s="24"/>
      <c r="FCR91" s="24"/>
      <c r="FCS91" s="24"/>
      <c r="FCT91" s="24"/>
      <c r="FCU91" s="24"/>
      <c r="FCV91" s="24"/>
      <c r="FCW91" s="24"/>
      <c r="FCX91" s="24"/>
      <c r="FCY91" s="24"/>
      <c r="FCZ91" s="24"/>
      <c r="FDA91" s="24"/>
      <c r="FDB91" s="24"/>
      <c r="FDC91" s="24"/>
      <c r="FDD91" s="24"/>
      <c r="FDE91" s="24"/>
      <c r="FDF91" s="24"/>
      <c r="FDG91" s="24"/>
      <c r="FDH91" s="24"/>
      <c r="FDI91" s="24"/>
      <c r="FDJ91" s="24"/>
      <c r="FDK91" s="24"/>
      <c r="FDL91" s="24"/>
      <c r="FDM91" s="24"/>
      <c r="FDN91" s="24"/>
      <c r="FDO91" s="24"/>
      <c r="FDP91" s="24"/>
      <c r="FDQ91" s="24"/>
      <c r="FDR91" s="24"/>
      <c r="FDS91" s="24"/>
      <c r="FDT91" s="24"/>
      <c r="FDU91" s="24"/>
      <c r="FDV91" s="24"/>
      <c r="FDW91" s="24"/>
      <c r="FDX91" s="24"/>
      <c r="FDY91" s="24"/>
      <c r="FDZ91" s="24"/>
      <c r="FEA91" s="24"/>
      <c r="FEB91" s="24"/>
      <c r="FEC91" s="24"/>
      <c r="FED91" s="24"/>
      <c r="FEE91" s="24"/>
      <c r="FEF91" s="24"/>
      <c r="FEG91" s="24"/>
      <c r="FEH91" s="24"/>
      <c r="FEI91" s="24"/>
      <c r="FEJ91" s="24"/>
      <c r="FEK91" s="24"/>
      <c r="FEL91" s="24"/>
      <c r="FEM91" s="24"/>
      <c r="FEN91" s="24"/>
      <c r="FEO91" s="24"/>
      <c r="FEP91" s="24"/>
      <c r="FEQ91" s="24"/>
      <c r="FER91" s="24"/>
      <c r="FES91" s="24"/>
      <c r="FET91" s="24"/>
      <c r="FEU91" s="24"/>
      <c r="FEV91" s="24"/>
      <c r="FEW91" s="24"/>
      <c r="FEX91" s="24"/>
      <c r="FEY91" s="24"/>
      <c r="FEZ91" s="24"/>
      <c r="FFA91" s="24"/>
      <c r="FFB91" s="24"/>
      <c r="FFC91" s="24"/>
      <c r="FFD91" s="24"/>
      <c r="FFE91" s="24"/>
      <c r="FFF91" s="24"/>
      <c r="FFG91" s="24"/>
      <c r="FFH91" s="24"/>
      <c r="FFI91" s="24"/>
      <c r="FFJ91" s="24"/>
      <c r="FFK91" s="24"/>
      <c r="FFL91" s="24"/>
      <c r="FFM91" s="24"/>
      <c r="FFN91" s="24"/>
      <c r="FFO91" s="24"/>
      <c r="FFP91" s="24"/>
      <c r="FFQ91" s="24"/>
      <c r="FFR91" s="24"/>
      <c r="FFS91" s="24"/>
      <c r="FFT91" s="24"/>
      <c r="FFU91" s="24"/>
      <c r="FFV91" s="24"/>
      <c r="FFW91" s="24"/>
      <c r="FFX91" s="24"/>
      <c r="FFY91" s="24"/>
      <c r="FFZ91" s="24"/>
      <c r="FGA91" s="24"/>
      <c r="FGB91" s="24"/>
      <c r="FGC91" s="24"/>
      <c r="FGD91" s="24"/>
      <c r="FGE91" s="24"/>
      <c r="FGF91" s="24"/>
      <c r="FGG91" s="24"/>
      <c r="FGH91" s="24"/>
      <c r="FGI91" s="24"/>
      <c r="FGJ91" s="24"/>
      <c r="FGK91" s="24"/>
      <c r="FGL91" s="24"/>
      <c r="FGM91" s="24"/>
      <c r="FGN91" s="24"/>
      <c r="FGO91" s="24"/>
      <c r="FGP91" s="24"/>
      <c r="FGQ91" s="24"/>
      <c r="FGR91" s="24"/>
      <c r="FGS91" s="24"/>
      <c r="FGT91" s="24"/>
      <c r="FGU91" s="24"/>
      <c r="FGV91" s="24"/>
      <c r="FGW91" s="24"/>
      <c r="FGX91" s="24"/>
      <c r="FGY91" s="24"/>
      <c r="FGZ91" s="24"/>
      <c r="FHA91" s="24"/>
      <c r="FHB91" s="24"/>
      <c r="FHC91" s="24"/>
      <c r="FHD91" s="24"/>
      <c r="FHE91" s="24"/>
      <c r="FHF91" s="24"/>
      <c r="FHG91" s="24"/>
      <c r="FHH91" s="24"/>
      <c r="FHI91" s="24"/>
      <c r="FHJ91" s="24"/>
      <c r="FHK91" s="24"/>
      <c r="FHL91" s="24"/>
      <c r="FHM91" s="24"/>
      <c r="FHN91" s="24"/>
      <c r="FHO91" s="24"/>
      <c r="FHP91" s="24"/>
      <c r="FHQ91" s="24"/>
      <c r="FHR91" s="24"/>
      <c r="FHS91" s="24"/>
      <c r="FHT91" s="24"/>
      <c r="FHU91" s="24"/>
      <c r="FHV91" s="24"/>
      <c r="FHW91" s="24"/>
      <c r="FHX91" s="24"/>
      <c r="FHY91" s="24"/>
      <c r="FHZ91" s="24"/>
      <c r="FIA91" s="24"/>
      <c r="FIB91" s="24"/>
      <c r="FIC91" s="24"/>
      <c r="FID91" s="24"/>
      <c r="FIE91" s="24"/>
      <c r="FIF91" s="24"/>
      <c r="FIG91" s="24"/>
      <c r="FIH91" s="24"/>
      <c r="FII91" s="24"/>
      <c r="FIJ91" s="24"/>
      <c r="FIK91" s="24"/>
      <c r="FIL91" s="24"/>
      <c r="FIM91" s="24"/>
      <c r="FIN91" s="24"/>
      <c r="FIO91" s="24"/>
      <c r="FIP91" s="24"/>
      <c r="FIQ91" s="24"/>
      <c r="FIR91" s="24"/>
      <c r="FIS91" s="24"/>
      <c r="FIT91" s="24"/>
      <c r="FIU91" s="24"/>
      <c r="FIV91" s="24"/>
      <c r="FIW91" s="24"/>
      <c r="FIX91" s="24"/>
      <c r="FIY91" s="24"/>
      <c r="FIZ91" s="24"/>
      <c r="FJA91" s="24"/>
      <c r="FJB91" s="24"/>
      <c r="FJC91" s="24"/>
      <c r="FJD91" s="24"/>
      <c r="FJE91" s="24"/>
      <c r="FJF91" s="24"/>
      <c r="FJG91" s="24"/>
      <c r="FJH91" s="24"/>
      <c r="FJI91" s="24"/>
      <c r="FJJ91" s="24"/>
      <c r="FJK91" s="24"/>
      <c r="FJL91" s="24"/>
      <c r="FJM91" s="24"/>
      <c r="FJN91" s="24"/>
      <c r="FJO91" s="24"/>
      <c r="FJP91" s="24"/>
      <c r="FJQ91" s="24"/>
      <c r="FJR91" s="24"/>
      <c r="FJS91" s="24"/>
      <c r="FJT91" s="24"/>
      <c r="FJU91" s="24"/>
      <c r="FJV91" s="24"/>
      <c r="FJW91" s="24"/>
      <c r="FJX91" s="24"/>
      <c r="FJY91" s="24"/>
      <c r="FJZ91" s="24"/>
      <c r="FKA91" s="24"/>
      <c r="FKB91" s="24"/>
      <c r="FKC91" s="24"/>
      <c r="FKD91" s="24"/>
      <c r="FKE91" s="24"/>
      <c r="FKF91" s="24"/>
      <c r="FKG91" s="24"/>
      <c r="FKH91" s="24"/>
      <c r="FKI91" s="24"/>
      <c r="FKJ91" s="24"/>
      <c r="FKK91" s="24"/>
      <c r="FKL91" s="24"/>
      <c r="FKM91" s="24"/>
      <c r="FKN91" s="24"/>
      <c r="FKO91" s="24"/>
      <c r="FKP91" s="24"/>
      <c r="FKQ91" s="24"/>
      <c r="FKR91" s="24"/>
      <c r="FKS91" s="24"/>
      <c r="FKT91" s="24"/>
      <c r="FKU91" s="24"/>
      <c r="FKV91" s="24"/>
      <c r="FKW91" s="24"/>
      <c r="FKX91" s="24"/>
      <c r="FKY91" s="24"/>
      <c r="FKZ91" s="24"/>
      <c r="FLA91" s="24"/>
      <c r="FLB91" s="24"/>
      <c r="FLC91" s="24"/>
      <c r="FLD91" s="24"/>
      <c r="FLE91" s="24"/>
      <c r="FLF91" s="24"/>
      <c r="FLG91" s="24"/>
      <c r="FLH91" s="24"/>
      <c r="FLI91" s="24"/>
      <c r="FLJ91" s="24"/>
      <c r="FLK91" s="24"/>
      <c r="FLL91" s="24"/>
      <c r="FLM91" s="24"/>
      <c r="FLN91" s="24"/>
      <c r="FLO91" s="24"/>
      <c r="FLP91" s="24"/>
      <c r="FLQ91" s="24"/>
      <c r="FLR91" s="24"/>
      <c r="FLS91" s="24"/>
      <c r="FLT91" s="24"/>
      <c r="FLU91" s="24"/>
      <c r="FLV91" s="24"/>
      <c r="FLW91" s="24"/>
      <c r="FLX91" s="24"/>
      <c r="FLY91" s="24"/>
      <c r="FLZ91" s="24"/>
      <c r="FMA91" s="24"/>
      <c r="FMB91" s="24"/>
      <c r="FMC91" s="24"/>
      <c r="FMD91" s="24"/>
      <c r="FME91" s="24"/>
      <c r="FMF91" s="24"/>
      <c r="FMG91" s="24"/>
      <c r="FMH91" s="24"/>
      <c r="FMI91" s="24"/>
      <c r="FMJ91" s="24"/>
      <c r="FMK91" s="24"/>
      <c r="FML91" s="24"/>
      <c r="FMM91" s="24"/>
      <c r="FMN91" s="24"/>
      <c r="FMO91" s="24"/>
      <c r="FMP91" s="24"/>
      <c r="FMQ91" s="24"/>
      <c r="FMR91" s="24"/>
      <c r="FMS91" s="24"/>
      <c r="FMT91" s="24"/>
      <c r="FMU91" s="24"/>
      <c r="FMV91" s="24"/>
      <c r="FMW91" s="24"/>
      <c r="FMX91" s="24"/>
      <c r="FMY91" s="24"/>
      <c r="FMZ91" s="24"/>
      <c r="FNA91" s="24"/>
      <c r="FNB91" s="24"/>
      <c r="FNC91" s="24"/>
      <c r="FND91" s="24"/>
      <c r="FNE91" s="24"/>
      <c r="FNF91" s="24"/>
      <c r="FNG91" s="24"/>
      <c r="FNH91" s="24"/>
      <c r="FNI91" s="24"/>
      <c r="FNJ91" s="24"/>
      <c r="FNK91" s="24"/>
      <c r="FNL91" s="24"/>
      <c r="FNM91" s="24"/>
      <c r="FNN91" s="24"/>
      <c r="FNO91" s="24"/>
      <c r="FNP91" s="24"/>
      <c r="FNQ91" s="24"/>
      <c r="FNR91" s="24"/>
      <c r="FNS91" s="24"/>
      <c r="FNT91" s="24"/>
      <c r="FNU91" s="24"/>
      <c r="FNV91" s="24"/>
      <c r="FNW91" s="24"/>
      <c r="FNX91" s="24"/>
      <c r="FNY91" s="24"/>
      <c r="FNZ91" s="24"/>
      <c r="FOA91" s="24"/>
      <c r="FOB91" s="24"/>
      <c r="FOC91" s="24"/>
      <c r="FOD91" s="24"/>
      <c r="FOE91" s="24"/>
      <c r="FOF91" s="24"/>
      <c r="FOG91" s="24"/>
      <c r="FOH91" s="24"/>
      <c r="FOI91" s="24"/>
      <c r="FOJ91" s="24"/>
      <c r="FOK91" s="24"/>
      <c r="FOL91" s="24"/>
      <c r="FOM91" s="24"/>
      <c r="FON91" s="24"/>
      <c r="FOO91" s="24"/>
      <c r="FOP91" s="24"/>
      <c r="FOQ91" s="24"/>
      <c r="FOR91" s="24"/>
      <c r="FOS91" s="24"/>
      <c r="FOT91" s="24"/>
      <c r="FOU91" s="24"/>
      <c r="FOV91" s="24"/>
      <c r="FOW91" s="24"/>
      <c r="FOX91" s="24"/>
      <c r="FOY91" s="24"/>
      <c r="FOZ91" s="24"/>
      <c r="FPA91" s="24"/>
      <c r="FPB91" s="24"/>
      <c r="FPC91" s="24"/>
      <c r="FPD91" s="24"/>
      <c r="FPE91" s="24"/>
      <c r="FPF91" s="24"/>
      <c r="FPG91" s="24"/>
      <c r="FPH91" s="24"/>
      <c r="FPI91" s="24"/>
      <c r="FPJ91" s="24"/>
      <c r="FPK91" s="24"/>
      <c r="FPL91" s="24"/>
      <c r="FPM91" s="24"/>
      <c r="FPN91" s="24"/>
      <c r="FPO91" s="24"/>
      <c r="FPP91" s="24"/>
      <c r="FPQ91" s="24"/>
      <c r="FPR91" s="24"/>
      <c r="FPS91" s="24"/>
      <c r="FPT91" s="24"/>
      <c r="FPU91" s="24"/>
      <c r="FPV91" s="24"/>
      <c r="FPW91" s="24"/>
      <c r="FPX91" s="24"/>
      <c r="FPY91" s="24"/>
      <c r="FPZ91" s="24"/>
      <c r="FQA91" s="24"/>
      <c r="FQB91" s="24"/>
      <c r="FQC91" s="24"/>
      <c r="FQD91" s="24"/>
      <c r="FQE91" s="24"/>
      <c r="FQF91" s="24"/>
      <c r="FQG91" s="24"/>
      <c r="FQH91" s="24"/>
      <c r="FQI91" s="24"/>
      <c r="FQJ91" s="24"/>
      <c r="FQK91" s="24"/>
      <c r="FQL91" s="24"/>
      <c r="FQM91" s="24"/>
      <c r="FQN91" s="24"/>
      <c r="FQO91" s="24"/>
      <c r="FQP91" s="24"/>
      <c r="FQQ91" s="24"/>
      <c r="FQR91" s="24"/>
      <c r="FQS91" s="24"/>
      <c r="FQT91" s="24"/>
      <c r="FQU91" s="24"/>
      <c r="FQV91" s="24"/>
      <c r="FQW91" s="24"/>
      <c r="FQX91" s="24"/>
      <c r="FQY91" s="24"/>
      <c r="FQZ91" s="24"/>
      <c r="FRA91" s="24"/>
      <c r="FRB91" s="24"/>
      <c r="FRC91" s="24"/>
      <c r="FRD91" s="24"/>
      <c r="FRE91" s="24"/>
      <c r="FRF91" s="24"/>
      <c r="FRG91" s="24"/>
      <c r="FRH91" s="24"/>
      <c r="FRI91" s="24"/>
      <c r="FRJ91" s="24"/>
      <c r="FRK91" s="24"/>
      <c r="FRL91" s="24"/>
      <c r="FRM91" s="24"/>
      <c r="FRN91" s="24"/>
      <c r="FRO91" s="24"/>
      <c r="FRP91" s="24"/>
      <c r="FRQ91" s="24"/>
      <c r="FRR91" s="24"/>
      <c r="FRS91" s="24"/>
      <c r="FRT91" s="24"/>
      <c r="FRU91" s="24"/>
      <c r="FRV91" s="24"/>
      <c r="FRW91" s="24"/>
      <c r="FRX91" s="24"/>
      <c r="FRY91" s="24"/>
      <c r="FRZ91" s="24"/>
      <c r="FSA91" s="24"/>
      <c r="FSB91" s="24"/>
      <c r="FSC91" s="24"/>
      <c r="FSD91" s="24"/>
      <c r="FSE91" s="24"/>
      <c r="FSF91" s="24"/>
      <c r="FSG91" s="24"/>
      <c r="FSH91" s="24"/>
      <c r="FSI91" s="24"/>
      <c r="FSJ91" s="24"/>
      <c r="FSK91" s="24"/>
      <c r="FSL91" s="24"/>
      <c r="FSM91" s="24"/>
      <c r="FSN91" s="24"/>
      <c r="FSO91" s="24"/>
      <c r="FSP91" s="24"/>
      <c r="FSQ91" s="24"/>
      <c r="FSR91" s="24"/>
      <c r="FSS91" s="24"/>
      <c r="FST91" s="24"/>
      <c r="FSU91" s="24"/>
      <c r="FSV91" s="24"/>
      <c r="FSW91" s="24"/>
      <c r="FSX91" s="24"/>
      <c r="FSY91" s="24"/>
      <c r="FSZ91" s="24"/>
      <c r="FTA91" s="24"/>
      <c r="FTB91" s="24"/>
      <c r="FTC91" s="24"/>
      <c r="FTD91" s="24"/>
      <c r="FTE91" s="24"/>
      <c r="FTF91" s="24"/>
      <c r="FTG91" s="24"/>
      <c r="FTH91" s="24"/>
      <c r="FTI91" s="24"/>
      <c r="FTJ91" s="24"/>
      <c r="FTK91" s="24"/>
      <c r="FTL91" s="24"/>
      <c r="FTM91" s="24"/>
      <c r="FTN91" s="24"/>
      <c r="FTO91" s="24"/>
      <c r="FTP91" s="24"/>
      <c r="FTQ91" s="24"/>
      <c r="FTR91" s="24"/>
      <c r="FTS91" s="24"/>
      <c r="FTT91" s="24"/>
      <c r="FTU91" s="24"/>
      <c r="FTV91" s="24"/>
      <c r="FTW91" s="24"/>
      <c r="FTX91" s="24"/>
      <c r="FTY91" s="24"/>
      <c r="FTZ91" s="24"/>
      <c r="FUA91" s="24"/>
      <c r="FUB91" s="24"/>
      <c r="FUC91" s="24"/>
      <c r="FUD91" s="24"/>
      <c r="FUE91" s="24"/>
      <c r="FUF91" s="24"/>
      <c r="FUG91" s="24"/>
      <c r="FUH91" s="24"/>
      <c r="FUI91" s="24"/>
      <c r="FUJ91" s="24"/>
      <c r="FUK91" s="24"/>
      <c r="FUL91" s="24"/>
      <c r="FUM91" s="24"/>
      <c r="FUN91" s="24"/>
      <c r="FUO91" s="24"/>
      <c r="FUP91" s="24"/>
      <c r="FUQ91" s="24"/>
      <c r="FUR91" s="24"/>
      <c r="FUS91" s="24"/>
      <c r="FUT91" s="24"/>
      <c r="FUU91" s="24"/>
      <c r="FUV91" s="24"/>
      <c r="FUW91" s="24"/>
      <c r="FUX91" s="24"/>
      <c r="FUY91" s="24"/>
      <c r="FUZ91" s="24"/>
      <c r="FVA91" s="24"/>
      <c r="FVB91" s="24"/>
      <c r="FVC91" s="24"/>
      <c r="FVD91" s="24"/>
      <c r="FVE91" s="24"/>
      <c r="FVF91" s="24"/>
      <c r="FVG91" s="24"/>
      <c r="FVH91" s="24"/>
      <c r="FVI91" s="24"/>
      <c r="FVJ91" s="24"/>
      <c r="FVK91" s="24"/>
      <c r="FVL91" s="24"/>
      <c r="FVM91" s="24"/>
      <c r="FVN91" s="24"/>
      <c r="FVO91" s="24"/>
      <c r="FVP91" s="24"/>
      <c r="FVQ91" s="24"/>
      <c r="FVR91" s="24"/>
      <c r="FVS91" s="24"/>
      <c r="FVT91" s="24"/>
      <c r="FVU91" s="24"/>
      <c r="FVV91" s="24"/>
      <c r="FVW91" s="24"/>
      <c r="FVX91" s="24"/>
      <c r="FVY91" s="24"/>
      <c r="FVZ91" s="24"/>
      <c r="FWA91" s="24"/>
      <c r="FWB91" s="24"/>
      <c r="FWC91" s="24"/>
      <c r="FWD91" s="24"/>
      <c r="FWE91" s="24"/>
      <c r="FWF91" s="24"/>
      <c r="FWG91" s="24"/>
      <c r="FWH91" s="24"/>
      <c r="FWI91" s="24"/>
      <c r="FWJ91" s="24"/>
      <c r="FWK91" s="24"/>
      <c r="FWL91" s="24"/>
      <c r="FWM91" s="24"/>
      <c r="FWN91" s="24"/>
      <c r="FWO91" s="24"/>
      <c r="FWP91" s="24"/>
      <c r="FWQ91" s="24"/>
      <c r="FWR91" s="24"/>
      <c r="FWS91" s="24"/>
      <c r="FWT91" s="24"/>
      <c r="FWU91" s="24"/>
      <c r="FWV91" s="24"/>
      <c r="FWW91" s="24"/>
      <c r="FWX91" s="24"/>
      <c r="FWY91" s="24"/>
      <c r="FWZ91" s="24"/>
      <c r="FXA91" s="24"/>
      <c r="FXB91" s="24"/>
      <c r="FXC91" s="24"/>
      <c r="FXD91" s="24"/>
      <c r="FXE91" s="24"/>
      <c r="FXF91" s="24"/>
      <c r="FXG91" s="24"/>
      <c r="FXH91" s="24"/>
      <c r="FXI91" s="24"/>
      <c r="FXJ91" s="24"/>
      <c r="FXK91" s="24"/>
      <c r="FXL91" s="24"/>
      <c r="FXM91" s="24"/>
      <c r="FXN91" s="24"/>
      <c r="FXO91" s="24"/>
      <c r="FXP91" s="24"/>
      <c r="FXQ91" s="24"/>
      <c r="FXR91" s="24"/>
      <c r="FXS91" s="24"/>
      <c r="FXT91" s="24"/>
      <c r="FXU91" s="24"/>
      <c r="FXV91" s="24"/>
      <c r="FXW91" s="24"/>
      <c r="FXX91" s="24"/>
      <c r="FXY91" s="24"/>
      <c r="FXZ91" s="24"/>
      <c r="FYA91" s="24"/>
      <c r="FYB91" s="24"/>
      <c r="FYC91" s="24"/>
      <c r="FYD91" s="24"/>
      <c r="FYE91" s="24"/>
      <c r="FYF91" s="24"/>
      <c r="FYG91" s="24"/>
      <c r="FYH91" s="24"/>
      <c r="FYI91" s="24"/>
      <c r="FYJ91" s="24"/>
      <c r="FYK91" s="24"/>
      <c r="FYL91" s="24"/>
      <c r="FYM91" s="24"/>
      <c r="FYN91" s="24"/>
      <c r="FYO91" s="24"/>
      <c r="FYP91" s="24"/>
      <c r="FYQ91" s="24"/>
      <c r="FYR91" s="24"/>
      <c r="FYS91" s="24"/>
      <c r="FYT91" s="24"/>
      <c r="FYU91" s="24"/>
      <c r="FYV91" s="24"/>
      <c r="FYW91" s="24"/>
      <c r="FYX91" s="24"/>
      <c r="FYY91" s="24"/>
      <c r="FYZ91" s="24"/>
      <c r="FZA91" s="24"/>
      <c r="FZB91" s="24"/>
      <c r="FZC91" s="24"/>
      <c r="FZD91" s="24"/>
      <c r="FZE91" s="24"/>
      <c r="FZF91" s="24"/>
      <c r="FZG91" s="24"/>
      <c r="FZH91" s="24"/>
      <c r="FZI91" s="24"/>
      <c r="FZJ91" s="24"/>
      <c r="FZK91" s="24"/>
      <c r="FZL91" s="24"/>
      <c r="FZM91" s="24"/>
      <c r="FZN91" s="24"/>
      <c r="FZO91" s="24"/>
      <c r="FZP91" s="24"/>
      <c r="FZQ91" s="24"/>
      <c r="FZR91" s="24"/>
      <c r="FZS91" s="24"/>
      <c r="FZT91" s="24"/>
      <c r="FZU91" s="24"/>
      <c r="FZV91" s="24"/>
      <c r="FZW91" s="24"/>
      <c r="FZX91" s="24"/>
      <c r="FZY91" s="24"/>
      <c r="FZZ91" s="24"/>
      <c r="GAA91" s="24"/>
      <c r="GAB91" s="24"/>
      <c r="GAC91" s="24"/>
      <c r="GAD91" s="24"/>
      <c r="GAE91" s="24"/>
      <c r="GAF91" s="24"/>
      <c r="GAG91" s="24"/>
      <c r="GAH91" s="24"/>
      <c r="GAI91" s="24"/>
      <c r="GAJ91" s="24"/>
      <c r="GAK91" s="24"/>
      <c r="GAL91" s="24"/>
      <c r="GAM91" s="24"/>
      <c r="GAN91" s="24"/>
      <c r="GAO91" s="24"/>
      <c r="GAP91" s="24"/>
      <c r="GAQ91" s="24"/>
      <c r="GAR91" s="24"/>
      <c r="GAS91" s="24"/>
      <c r="GAT91" s="24"/>
      <c r="GAU91" s="24"/>
      <c r="GAV91" s="24"/>
      <c r="GAW91" s="24"/>
      <c r="GAX91" s="24"/>
      <c r="GAY91" s="24"/>
      <c r="GAZ91" s="24"/>
      <c r="GBA91" s="24"/>
      <c r="GBB91" s="24"/>
      <c r="GBC91" s="24"/>
      <c r="GBD91" s="24"/>
      <c r="GBE91" s="24"/>
      <c r="GBF91" s="24"/>
      <c r="GBG91" s="24"/>
      <c r="GBH91" s="24"/>
      <c r="GBI91" s="24"/>
      <c r="GBJ91" s="24"/>
      <c r="GBK91" s="24"/>
      <c r="GBL91" s="24"/>
      <c r="GBM91" s="24"/>
      <c r="GBN91" s="24"/>
      <c r="GBO91" s="24"/>
      <c r="GBP91" s="24"/>
      <c r="GBQ91" s="24"/>
      <c r="GBR91" s="24"/>
      <c r="GBS91" s="24"/>
      <c r="GBT91" s="24"/>
      <c r="GBU91" s="24"/>
      <c r="GBV91" s="24"/>
      <c r="GBW91" s="24"/>
      <c r="GBX91" s="24"/>
      <c r="GBY91" s="24"/>
      <c r="GBZ91" s="24"/>
      <c r="GCA91" s="24"/>
      <c r="GCB91" s="24"/>
      <c r="GCC91" s="24"/>
      <c r="GCD91" s="24"/>
      <c r="GCE91" s="24"/>
      <c r="GCF91" s="24"/>
      <c r="GCG91" s="24"/>
      <c r="GCH91" s="24"/>
      <c r="GCI91" s="24"/>
      <c r="GCJ91" s="24"/>
      <c r="GCK91" s="24"/>
      <c r="GCL91" s="24"/>
      <c r="GCM91" s="24"/>
      <c r="GCN91" s="24"/>
      <c r="GCO91" s="24"/>
      <c r="GCP91" s="24"/>
      <c r="GCQ91" s="24"/>
      <c r="GCR91" s="24"/>
      <c r="GCS91" s="24"/>
      <c r="GCT91" s="24"/>
      <c r="GCU91" s="24"/>
      <c r="GCV91" s="24"/>
      <c r="GCW91" s="24"/>
      <c r="GCX91" s="24"/>
      <c r="GCY91" s="24"/>
      <c r="GCZ91" s="24"/>
      <c r="GDA91" s="24"/>
      <c r="GDB91" s="24"/>
      <c r="GDC91" s="24"/>
      <c r="GDD91" s="24"/>
      <c r="GDE91" s="24"/>
      <c r="GDF91" s="24"/>
      <c r="GDG91" s="24"/>
      <c r="GDH91" s="24"/>
      <c r="GDI91" s="24"/>
      <c r="GDJ91" s="24"/>
      <c r="GDK91" s="24"/>
      <c r="GDL91" s="24"/>
      <c r="GDM91" s="24"/>
      <c r="GDN91" s="24"/>
      <c r="GDO91" s="24"/>
      <c r="GDP91" s="24"/>
      <c r="GDQ91" s="24"/>
      <c r="GDR91" s="24"/>
      <c r="GDS91" s="24"/>
      <c r="GDT91" s="24"/>
      <c r="GDU91" s="24"/>
      <c r="GDV91" s="24"/>
      <c r="GDW91" s="24"/>
      <c r="GDX91" s="24"/>
      <c r="GDY91" s="24"/>
      <c r="GDZ91" s="24"/>
      <c r="GEA91" s="24"/>
      <c r="GEB91" s="24"/>
      <c r="GEC91" s="24"/>
      <c r="GED91" s="24"/>
      <c r="GEE91" s="24"/>
      <c r="GEF91" s="24"/>
      <c r="GEG91" s="24"/>
      <c r="GEH91" s="24"/>
      <c r="GEI91" s="24"/>
      <c r="GEJ91" s="24"/>
      <c r="GEK91" s="24"/>
      <c r="GEL91" s="24"/>
      <c r="GEM91" s="24"/>
      <c r="GEN91" s="24"/>
      <c r="GEO91" s="24"/>
      <c r="GEP91" s="24"/>
      <c r="GEQ91" s="24"/>
      <c r="GER91" s="24"/>
      <c r="GES91" s="24"/>
      <c r="GET91" s="24"/>
      <c r="GEU91" s="24"/>
      <c r="GEV91" s="24"/>
      <c r="GEW91" s="24"/>
      <c r="GEX91" s="24"/>
      <c r="GEY91" s="24"/>
      <c r="GEZ91" s="24"/>
      <c r="GFA91" s="24"/>
      <c r="GFB91" s="24"/>
      <c r="GFC91" s="24"/>
      <c r="GFD91" s="24"/>
      <c r="GFE91" s="24"/>
      <c r="GFF91" s="24"/>
      <c r="GFG91" s="24"/>
      <c r="GFH91" s="24"/>
      <c r="GFI91" s="24"/>
      <c r="GFJ91" s="24"/>
      <c r="GFK91" s="24"/>
      <c r="GFL91" s="24"/>
      <c r="GFM91" s="24"/>
      <c r="GFN91" s="24"/>
      <c r="GFO91" s="24"/>
      <c r="GFP91" s="24"/>
      <c r="GFQ91" s="24"/>
      <c r="GFR91" s="24"/>
      <c r="GFS91" s="24"/>
      <c r="GFT91" s="24"/>
      <c r="GFU91" s="24"/>
      <c r="GFV91" s="24"/>
      <c r="GFW91" s="24"/>
      <c r="GFX91" s="24"/>
      <c r="GFY91" s="24"/>
      <c r="GFZ91" s="24"/>
      <c r="GGA91" s="24"/>
      <c r="GGB91" s="24"/>
      <c r="GGC91" s="24"/>
      <c r="GGD91" s="24"/>
      <c r="GGE91" s="24"/>
      <c r="GGF91" s="24"/>
      <c r="GGG91" s="24"/>
      <c r="GGH91" s="24"/>
      <c r="GGI91" s="24"/>
      <c r="GGJ91" s="24"/>
      <c r="GGK91" s="24"/>
      <c r="GGL91" s="24"/>
      <c r="GGM91" s="24"/>
      <c r="GGN91" s="24"/>
      <c r="GGO91" s="24"/>
      <c r="GGP91" s="24"/>
      <c r="GGQ91" s="24"/>
      <c r="GGR91" s="24"/>
      <c r="GGS91" s="24"/>
      <c r="GGT91" s="24"/>
      <c r="GGU91" s="24"/>
      <c r="GGV91" s="24"/>
      <c r="GGW91" s="24"/>
      <c r="GGX91" s="24"/>
      <c r="GGY91" s="24"/>
      <c r="GGZ91" s="24"/>
      <c r="GHA91" s="24"/>
      <c r="GHB91" s="24"/>
      <c r="GHC91" s="24"/>
      <c r="GHD91" s="24"/>
      <c r="GHE91" s="24"/>
      <c r="GHF91" s="24"/>
      <c r="GHG91" s="24"/>
      <c r="GHH91" s="24"/>
      <c r="GHI91" s="24"/>
      <c r="GHJ91" s="24"/>
      <c r="GHK91" s="24"/>
      <c r="GHL91" s="24"/>
      <c r="GHM91" s="24"/>
      <c r="GHN91" s="24"/>
      <c r="GHO91" s="24"/>
      <c r="GHP91" s="24"/>
      <c r="GHQ91" s="24"/>
      <c r="GHR91" s="24"/>
      <c r="GHS91" s="24"/>
      <c r="GHT91" s="24"/>
      <c r="GHU91" s="24"/>
      <c r="GHV91" s="24"/>
      <c r="GHW91" s="24"/>
      <c r="GHX91" s="24"/>
      <c r="GHY91" s="24"/>
      <c r="GHZ91" s="24"/>
      <c r="GIA91" s="24"/>
      <c r="GIB91" s="24"/>
      <c r="GIC91" s="24"/>
      <c r="GID91" s="24"/>
      <c r="GIE91" s="24"/>
      <c r="GIF91" s="24"/>
      <c r="GIG91" s="24"/>
      <c r="GIH91" s="24"/>
      <c r="GII91" s="24"/>
      <c r="GIJ91" s="24"/>
      <c r="GIK91" s="24"/>
      <c r="GIL91" s="24"/>
      <c r="GIM91" s="24"/>
      <c r="GIN91" s="24"/>
      <c r="GIO91" s="24"/>
      <c r="GIP91" s="24"/>
      <c r="GIQ91" s="24"/>
      <c r="GIR91" s="24"/>
      <c r="GIS91" s="24"/>
      <c r="GIT91" s="24"/>
      <c r="GIU91" s="24"/>
      <c r="GIV91" s="24"/>
      <c r="GIW91" s="24"/>
      <c r="GIX91" s="24"/>
      <c r="GIY91" s="24"/>
      <c r="GIZ91" s="24"/>
      <c r="GJA91" s="24"/>
      <c r="GJB91" s="24"/>
      <c r="GJC91" s="24"/>
      <c r="GJD91" s="24"/>
      <c r="GJE91" s="24"/>
      <c r="GJF91" s="24"/>
      <c r="GJG91" s="24"/>
      <c r="GJH91" s="24"/>
      <c r="GJI91" s="24"/>
      <c r="GJJ91" s="24"/>
      <c r="GJK91" s="24"/>
      <c r="GJL91" s="24"/>
      <c r="GJM91" s="24"/>
      <c r="GJN91" s="24"/>
      <c r="GJO91" s="24"/>
      <c r="GJP91" s="24"/>
      <c r="GJQ91" s="24"/>
      <c r="GJR91" s="24"/>
      <c r="GJS91" s="24"/>
      <c r="GJT91" s="24"/>
      <c r="GJU91" s="24"/>
      <c r="GJV91" s="24"/>
      <c r="GJW91" s="24"/>
      <c r="GJX91" s="24"/>
      <c r="GJY91" s="24"/>
      <c r="GJZ91" s="24"/>
      <c r="GKA91" s="24"/>
      <c r="GKB91" s="24"/>
      <c r="GKC91" s="24"/>
      <c r="GKD91" s="24"/>
      <c r="GKE91" s="24"/>
      <c r="GKF91" s="24"/>
      <c r="GKG91" s="24"/>
      <c r="GKH91" s="24"/>
      <c r="GKI91" s="24"/>
      <c r="GKJ91" s="24"/>
      <c r="GKK91" s="24"/>
      <c r="GKL91" s="24"/>
      <c r="GKM91" s="24"/>
      <c r="GKN91" s="24"/>
      <c r="GKO91" s="24"/>
      <c r="GKP91" s="24"/>
      <c r="GKQ91" s="24"/>
      <c r="GKR91" s="24"/>
      <c r="GKS91" s="24"/>
      <c r="GKT91" s="24"/>
      <c r="GKU91" s="24"/>
      <c r="GKV91" s="24"/>
      <c r="GKW91" s="24"/>
      <c r="GKX91" s="24"/>
      <c r="GKY91" s="24"/>
      <c r="GKZ91" s="24"/>
      <c r="GLA91" s="24"/>
      <c r="GLB91" s="24"/>
      <c r="GLC91" s="24"/>
      <c r="GLD91" s="24"/>
      <c r="GLE91" s="24"/>
      <c r="GLF91" s="24"/>
      <c r="GLG91" s="24"/>
      <c r="GLH91" s="24"/>
      <c r="GLI91" s="24"/>
      <c r="GLJ91" s="24"/>
      <c r="GLK91" s="24"/>
      <c r="GLL91" s="24"/>
      <c r="GLM91" s="24"/>
      <c r="GLN91" s="24"/>
      <c r="GLO91" s="24"/>
      <c r="GLP91" s="24"/>
      <c r="GLQ91" s="24"/>
      <c r="GLR91" s="24"/>
      <c r="GLS91" s="24"/>
      <c r="GLT91" s="24"/>
      <c r="GLU91" s="24"/>
      <c r="GLV91" s="24"/>
      <c r="GLW91" s="24"/>
      <c r="GLX91" s="24"/>
      <c r="GLY91" s="24"/>
      <c r="GLZ91" s="24"/>
      <c r="GMA91" s="24"/>
      <c r="GMB91" s="24"/>
      <c r="GMC91" s="24"/>
      <c r="GMD91" s="24"/>
      <c r="GME91" s="24"/>
      <c r="GMF91" s="24"/>
      <c r="GMG91" s="24"/>
      <c r="GMH91" s="24"/>
      <c r="GMI91" s="24"/>
      <c r="GMJ91" s="24"/>
      <c r="GMK91" s="24"/>
      <c r="GML91" s="24"/>
      <c r="GMM91" s="24"/>
      <c r="GMN91" s="24"/>
      <c r="GMO91" s="24"/>
      <c r="GMP91" s="24"/>
      <c r="GMQ91" s="24"/>
      <c r="GMR91" s="24"/>
      <c r="GMS91" s="24"/>
      <c r="GMT91" s="24"/>
      <c r="GMU91" s="24"/>
      <c r="GMV91" s="24"/>
      <c r="GMW91" s="24"/>
      <c r="GMX91" s="24"/>
      <c r="GMY91" s="24"/>
      <c r="GMZ91" s="24"/>
      <c r="GNA91" s="24"/>
      <c r="GNB91" s="24"/>
      <c r="GNC91" s="24"/>
      <c r="GND91" s="24"/>
      <c r="GNE91" s="24"/>
      <c r="GNF91" s="24"/>
      <c r="GNG91" s="24"/>
      <c r="GNH91" s="24"/>
      <c r="GNI91" s="24"/>
      <c r="GNJ91" s="24"/>
      <c r="GNK91" s="24"/>
      <c r="GNL91" s="24"/>
      <c r="GNM91" s="24"/>
      <c r="GNN91" s="24"/>
      <c r="GNO91" s="24"/>
      <c r="GNP91" s="24"/>
      <c r="GNQ91" s="24"/>
      <c r="GNR91" s="24"/>
      <c r="GNS91" s="24"/>
      <c r="GNT91" s="24"/>
      <c r="GNU91" s="24"/>
      <c r="GNV91" s="24"/>
      <c r="GNW91" s="24"/>
      <c r="GNX91" s="24"/>
      <c r="GNY91" s="24"/>
      <c r="GNZ91" s="24"/>
      <c r="GOA91" s="24"/>
      <c r="GOB91" s="24"/>
      <c r="GOC91" s="24"/>
      <c r="GOD91" s="24"/>
      <c r="GOE91" s="24"/>
      <c r="GOF91" s="24"/>
      <c r="GOG91" s="24"/>
      <c r="GOH91" s="24"/>
      <c r="GOI91" s="24"/>
      <c r="GOJ91" s="24"/>
      <c r="GOK91" s="24"/>
      <c r="GOL91" s="24"/>
      <c r="GOM91" s="24"/>
      <c r="GON91" s="24"/>
      <c r="GOO91" s="24"/>
      <c r="GOP91" s="24"/>
      <c r="GOQ91" s="24"/>
      <c r="GOR91" s="24"/>
      <c r="GOS91" s="24"/>
      <c r="GOT91" s="24"/>
      <c r="GOU91" s="24"/>
      <c r="GOV91" s="24"/>
      <c r="GOW91" s="24"/>
      <c r="GOX91" s="24"/>
      <c r="GOY91" s="24"/>
      <c r="GOZ91" s="24"/>
      <c r="GPA91" s="24"/>
      <c r="GPB91" s="24"/>
      <c r="GPC91" s="24"/>
      <c r="GPD91" s="24"/>
      <c r="GPE91" s="24"/>
      <c r="GPF91" s="24"/>
      <c r="GPG91" s="24"/>
      <c r="GPH91" s="24"/>
      <c r="GPI91" s="24"/>
      <c r="GPJ91" s="24"/>
      <c r="GPK91" s="24"/>
      <c r="GPL91" s="24"/>
      <c r="GPM91" s="24"/>
      <c r="GPN91" s="24"/>
      <c r="GPO91" s="24"/>
      <c r="GPP91" s="24"/>
      <c r="GPQ91" s="24"/>
      <c r="GPR91" s="24"/>
      <c r="GPS91" s="24"/>
      <c r="GPT91" s="24"/>
      <c r="GPU91" s="24"/>
      <c r="GPV91" s="24"/>
      <c r="GPW91" s="24"/>
      <c r="GPX91" s="24"/>
      <c r="GPY91" s="24"/>
      <c r="GPZ91" s="24"/>
      <c r="GQA91" s="24"/>
      <c r="GQB91" s="24"/>
      <c r="GQC91" s="24"/>
      <c r="GQD91" s="24"/>
      <c r="GQE91" s="24"/>
      <c r="GQF91" s="24"/>
      <c r="GQG91" s="24"/>
      <c r="GQH91" s="24"/>
      <c r="GQI91" s="24"/>
      <c r="GQJ91" s="24"/>
      <c r="GQK91" s="24"/>
      <c r="GQL91" s="24"/>
      <c r="GQM91" s="24"/>
      <c r="GQN91" s="24"/>
      <c r="GQO91" s="24"/>
      <c r="GQP91" s="24"/>
      <c r="GQQ91" s="24"/>
      <c r="GQR91" s="24"/>
      <c r="GQS91" s="24"/>
      <c r="GQT91" s="24"/>
      <c r="GQU91" s="24"/>
      <c r="GQV91" s="24"/>
      <c r="GQW91" s="24"/>
      <c r="GQX91" s="24"/>
      <c r="GQY91" s="24"/>
      <c r="GQZ91" s="24"/>
      <c r="GRA91" s="24"/>
      <c r="GRB91" s="24"/>
      <c r="GRC91" s="24"/>
      <c r="GRD91" s="24"/>
      <c r="GRE91" s="24"/>
      <c r="GRF91" s="24"/>
      <c r="GRG91" s="24"/>
      <c r="GRH91" s="24"/>
      <c r="GRI91" s="24"/>
      <c r="GRJ91" s="24"/>
      <c r="GRK91" s="24"/>
      <c r="GRL91" s="24"/>
      <c r="GRM91" s="24"/>
      <c r="GRN91" s="24"/>
      <c r="GRO91" s="24"/>
      <c r="GRP91" s="24"/>
      <c r="GRQ91" s="24"/>
      <c r="GRR91" s="24"/>
      <c r="GRS91" s="24"/>
      <c r="GRT91" s="24"/>
      <c r="GRU91" s="24"/>
      <c r="GRV91" s="24"/>
      <c r="GRW91" s="24"/>
      <c r="GRX91" s="24"/>
      <c r="GRY91" s="24"/>
      <c r="GRZ91" s="24"/>
      <c r="GSA91" s="24"/>
      <c r="GSB91" s="24"/>
      <c r="GSC91" s="24"/>
      <c r="GSD91" s="24"/>
      <c r="GSE91" s="24"/>
      <c r="GSF91" s="24"/>
      <c r="GSG91" s="24"/>
      <c r="GSH91" s="24"/>
      <c r="GSI91" s="24"/>
      <c r="GSJ91" s="24"/>
      <c r="GSK91" s="24"/>
      <c r="GSL91" s="24"/>
      <c r="GSM91" s="24"/>
      <c r="GSN91" s="24"/>
      <c r="GSO91" s="24"/>
      <c r="GSP91" s="24"/>
      <c r="GSQ91" s="24"/>
      <c r="GSR91" s="24"/>
      <c r="GSS91" s="24"/>
      <c r="GST91" s="24"/>
      <c r="GSU91" s="24"/>
      <c r="GSV91" s="24"/>
      <c r="GSW91" s="24"/>
      <c r="GSX91" s="24"/>
      <c r="GSY91" s="24"/>
      <c r="GSZ91" s="24"/>
      <c r="GTA91" s="24"/>
      <c r="GTB91" s="24"/>
      <c r="GTC91" s="24"/>
      <c r="GTD91" s="24"/>
      <c r="GTE91" s="24"/>
      <c r="GTF91" s="24"/>
      <c r="GTG91" s="24"/>
      <c r="GTH91" s="24"/>
      <c r="GTI91" s="24"/>
      <c r="GTJ91" s="24"/>
      <c r="GTK91" s="24"/>
      <c r="GTL91" s="24"/>
      <c r="GTM91" s="24"/>
      <c r="GTN91" s="24"/>
      <c r="GTO91" s="24"/>
      <c r="GTP91" s="24"/>
      <c r="GTQ91" s="24"/>
      <c r="GTR91" s="24"/>
      <c r="GTS91" s="24"/>
      <c r="GTT91" s="24"/>
      <c r="GTU91" s="24"/>
      <c r="GTV91" s="24"/>
      <c r="GTW91" s="24"/>
      <c r="GTX91" s="24"/>
      <c r="GTY91" s="24"/>
      <c r="GTZ91" s="24"/>
      <c r="GUA91" s="24"/>
      <c r="GUB91" s="24"/>
      <c r="GUC91" s="24"/>
      <c r="GUD91" s="24"/>
      <c r="GUE91" s="24"/>
      <c r="GUF91" s="24"/>
      <c r="GUG91" s="24"/>
      <c r="GUH91" s="24"/>
      <c r="GUI91" s="24"/>
      <c r="GUJ91" s="24"/>
      <c r="GUK91" s="24"/>
      <c r="GUL91" s="24"/>
      <c r="GUM91" s="24"/>
      <c r="GUN91" s="24"/>
      <c r="GUO91" s="24"/>
      <c r="GUP91" s="24"/>
      <c r="GUQ91" s="24"/>
      <c r="GUR91" s="24"/>
      <c r="GUS91" s="24"/>
      <c r="GUT91" s="24"/>
      <c r="GUU91" s="24"/>
      <c r="GUV91" s="24"/>
      <c r="GUW91" s="24"/>
      <c r="GUX91" s="24"/>
      <c r="GUY91" s="24"/>
      <c r="GUZ91" s="24"/>
      <c r="GVA91" s="24"/>
      <c r="GVB91" s="24"/>
      <c r="GVC91" s="24"/>
      <c r="GVD91" s="24"/>
      <c r="GVE91" s="24"/>
      <c r="GVF91" s="24"/>
      <c r="GVG91" s="24"/>
      <c r="GVH91" s="24"/>
      <c r="GVI91" s="24"/>
      <c r="GVJ91" s="24"/>
      <c r="GVK91" s="24"/>
      <c r="GVL91" s="24"/>
      <c r="GVM91" s="24"/>
      <c r="GVN91" s="24"/>
      <c r="GVO91" s="24"/>
      <c r="GVP91" s="24"/>
      <c r="GVQ91" s="24"/>
      <c r="GVR91" s="24"/>
      <c r="GVS91" s="24"/>
      <c r="GVT91" s="24"/>
      <c r="GVU91" s="24"/>
      <c r="GVV91" s="24"/>
      <c r="GVW91" s="24"/>
      <c r="GVX91" s="24"/>
      <c r="GVY91" s="24"/>
      <c r="GVZ91" s="24"/>
      <c r="GWA91" s="24"/>
      <c r="GWB91" s="24"/>
      <c r="GWC91" s="24"/>
      <c r="GWD91" s="24"/>
      <c r="GWE91" s="24"/>
      <c r="GWF91" s="24"/>
      <c r="GWG91" s="24"/>
      <c r="GWH91" s="24"/>
      <c r="GWI91" s="24"/>
      <c r="GWJ91" s="24"/>
      <c r="GWK91" s="24"/>
      <c r="GWL91" s="24"/>
      <c r="GWM91" s="24"/>
      <c r="GWN91" s="24"/>
      <c r="GWO91" s="24"/>
      <c r="GWP91" s="24"/>
      <c r="GWQ91" s="24"/>
      <c r="GWR91" s="24"/>
      <c r="GWS91" s="24"/>
      <c r="GWT91" s="24"/>
      <c r="GWU91" s="24"/>
      <c r="GWV91" s="24"/>
      <c r="GWW91" s="24"/>
      <c r="GWX91" s="24"/>
      <c r="GWY91" s="24"/>
      <c r="GWZ91" s="24"/>
      <c r="GXA91" s="24"/>
      <c r="GXB91" s="24"/>
      <c r="GXC91" s="24"/>
      <c r="GXD91" s="24"/>
      <c r="GXE91" s="24"/>
      <c r="GXF91" s="24"/>
      <c r="GXG91" s="24"/>
      <c r="GXH91" s="24"/>
      <c r="GXI91" s="24"/>
      <c r="GXJ91" s="24"/>
      <c r="GXK91" s="24"/>
      <c r="GXL91" s="24"/>
      <c r="GXM91" s="24"/>
      <c r="GXN91" s="24"/>
      <c r="GXO91" s="24"/>
      <c r="GXP91" s="24"/>
      <c r="GXQ91" s="24"/>
      <c r="GXR91" s="24"/>
      <c r="GXS91" s="24"/>
      <c r="GXT91" s="24"/>
      <c r="GXU91" s="24"/>
      <c r="GXV91" s="24"/>
      <c r="GXW91" s="24"/>
      <c r="GXX91" s="24"/>
      <c r="GXY91" s="24"/>
      <c r="GXZ91" s="24"/>
      <c r="GYA91" s="24"/>
      <c r="GYB91" s="24"/>
      <c r="GYC91" s="24"/>
      <c r="GYD91" s="24"/>
      <c r="GYE91" s="24"/>
      <c r="GYF91" s="24"/>
      <c r="GYG91" s="24"/>
      <c r="GYH91" s="24"/>
      <c r="GYI91" s="24"/>
      <c r="GYJ91" s="24"/>
      <c r="GYK91" s="24"/>
      <c r="GYL91" s="24"/>
      <c r="GYM91" s="24"/>
      <c r="GYN91" s="24"/>
      <c r="GYO91" s="24"/>
      <c r="GYP91" s="24"/>
      <c r="GYQ91" s="24"/>
      <c r="GYR91" s="24"/>
      <c r="GYS91" s="24"/>
      <c r="GYT91" s="24"/>
      <c r="GYU91" s="24"/>
      <c r="GYV91" s="24"/>
      <c r="GYW91" s="24"/>
      <c r="GYX91" s="24"/>
      <c r="GYY91" s="24"/>
      <c r="GYZ91" s="24"/>
      <c r="GZA91" s="24"/>
      <c r="GZB91" s="24"/>
      <c r="GZC91" s="24"/>
      <c r="GZD91" s="24"/>
      <c r="GZE91" s="24"/>
      <c r="GZF91" s="24"/>
      <c r="GZG91" s="24"/>
      <c r="GZH91" s="24"/>
      <c r="GZI91" s="24"/>
      <c r="GZJ91" s="24"/>
      <c r="GZK91" s="24"/>
      <c r="GZL91" s="24"/>
      <c r="GZM91" s="24"/>
      <c r="GZN91" s="24"/>
      <c r="GZO91" s="24"/>
      <c r="GZP91" s="24"/>
      <c r="GZQ91" s="24"/>
      <c r="GZR91" s="24"/>
      <c r="GZS91" s="24"/>
      <c r="GZT91" s="24"/>
      <c r="GZU91" s="24"/>
      <c r="GZV91" s="24"/>
      <c r="GZW91" s="24"/>
      <c r="GZX91" s="24"/>
      <c r="GZY91" s="24"/>
      <c r="GZZ91" s="24"/>
      <c r="HAA91" s="24"/>
      <c r="HAB91" s="24"/>
      <c r="HAC91" s="24"/>
      <c r="HAD91" s="24"/>
      <c r="HAE91" s="24"/>
      <c r="HAF91" s="24"/>
      <c r="HAG91" s="24"/>
      <c r="HAH91" s="24"/>
      <c r="HAI91" s="24"/>
      <c r="HAJ91" s="24"/>
      <c r="HAK91" s="24"/>
      <c r="HAL91" s="24"/>
      <c r="HAM91" s="24"/>
      <c r="HAN91" s="24"/>
      <c r="HAO91" s="24"/>
      <c r="HAP91" s="24"/>
      <c r="HAQ91" s="24"/>
      <c r="HAR91" s="24"/>
      <c r="HAS91" s="24"/>
      <c r="HAT91" s="24"/>
      <c r="HAU91" s="24"/>
      <c r="HAV91" s="24"/>
      <c r="HAW91" s="24"/>
      <c r="HAX91" s="24"/>
      <c r="HAY91" s="24"/>
      <c r="HAZ91" s="24"/>
      <c r="HBA91" s="24"/>
      <c r="HBB91" s="24"/>
      <c r="HBC91" s="24"/>
      <c r="HBD91" s="24"/>
      <c r="HBE91" s="24"/>
      <c r="HBF91" s="24"/>
      <c r="HBG91" s="24"/>
      <c r="HBH91" s="24"/>
      <c r="HBI91" s="24"/>
      <c r="HBJ91" s="24"/>
      <c r="HBK91" s="24"/>
      <c r="HBL91" s="24"/>
      <c r="HBM91" s="24"/>
      <c r="HBN91" s="24"/>
      <c r="HBO91" s="24"/>
      <c r="HBP91" s="24"/>
      <c r="HBQ91" s="24"/>
      <c r="HBR91" s="24"/>
      <c r="HBS91" s="24"/>
      <c r="HBT91" s="24"/>
      <c r="HBU91" s="24"/>
      <c r="HBV91" s="24"/>
      <c r="HBW91" s="24"/>
      <c r="HBX91" s="24"/>
      <c r="HBY91" s="24"/>
      <c r="HBZ91" s="24"/>
      <c r="HCA91" s="24"/>
      <c r="HCB91" s="24"/>
      <c r="HCC91" s="24"/>
      <c r="HCD91" s="24"/>
      <c r="HCE91" s="24"/>
      <c r="HCF91" s="24"/>
      <c r="HCG91" s="24"/>
      <c r="HCH91" s="24"/>
      <c r="HCI91" s="24"/>
      <c r="HCJ91" s="24"/>
      <c r="HCK91" s="24"/>
      <c r="HCL91" s="24"/>
      <c r="HCM91" s="24"/>
      <c r="HCN91" s="24"/>
      <c r="HCO91" s="24"/>
      <c r="HCP91" s="24"/>
      <c r="HCQ91" s="24"/>
      <c r="HCR91" s="24"/>
      <c r="HCS91" s="24"/>
      <c r="HCT91" s="24"/>
      <c r="HCU91" s="24"/>
      <c r="HCV91" s="24"/>
      <c r="HCW91" s="24"/>
      <c r="HCX91" s="24"/>
      <c r="HCY91" s="24"/>
      <c r="HCZ91" s="24"/>
      <c r="HDA91" s="24"/>
      <c r="HDB91" s="24"/>
      <c r="HDC91" s="24"/>
      <c r="HDD91" s="24"/>
      <c r="HDE91" s="24"/>
      <c r="HDF91" s="24"/>
      <c r="HDG91" s="24"/>
      <c r="HDH91" s="24"/>
      <c r="HDI91" s="24"/>
      <c r="HDJ91" s="24"/>
      <c r="HDK91" s="24"/>
      <c r="HDL91" s="24"/>
      <c r="HDM91" s="24"/>
      <c r="HDN91" s="24"/>
      <c r="HDO91" s="24"/>
      <c r="HDP91" s="24"/>
      <c r="HDQ91" s="24"/>
      <c r="HDR91" s="24"/>
      <c r="HDS91" s="24"/>
      <c r="HDT91" s="24"/>
      <c r="HDU91" s="24"/>
      <c r="HDV91" s="24"/>
      <c r="HDW91" s="24"/>
      <c r="HDX91" s="24"/>
      <c r="HDY91" s="24"/>
      <c r="HDZ91" s="24"/>
      <c r="HEA91" s="24"/>
      <c r="HEB91" s="24"/>
      <c r="HEC91" s="24"/>
      <c r="HED91" s="24"/>
      <c r="HEE91" s="24"/>
      <c r="HEF91" s="24"/>
      <c r="HEG91" s="24"/>
      <c r="HEH91" s="24"/>
      <c r="HEI91" s="24"/>
      <c r="HEJ91" s="24"/>
      <c r="HEK91" s="24"/>
      <c r="HEL91" s="24"/>
      <c r="HEM91" s="24"/>
      <c r="HEN91" s="24"/>
      <c r="HEO91" s="24"/>
      <c r="HEP91" s="24"/>
      <c r="HEQ91" s="24"/>
      <c r="HER91" s="24"/>
      <c r="HES91" s="24"/>
      <c r="HET91" s="24"/>
      <c r="HEU91" s="24"/>
      <c r="HEV91" s="24"/>
      <c r="HEW91" s="24"/>
      <c r="HEX91" s="24"/>
      <c r="HEY91" s="24"/>
      <c r="HEZ91" s="24"/>
      <c r="HFA91" s="24"/>
      <c r="HFB91" s="24"/>
      <c r="HFC91" s="24"/>
      <c r="HFD91" s="24"/>
      <c r="HFE91" s="24"/>
      <c r="HFF91" s="24"/>
      <c r="HFG91" s="24"/>
      <c r="HFH91" s="24"/>
      <c r="HFI91" s="24"/>
      <c r="HFJ91" s="24"/>
      <c r="HFK91" s="24"/>
      <c r="HFL91" s="24"/>
      <c r="HFM91" s="24"/>
      <c r="HFN91" s="24"/>
      <c r="HFO91" s="24"/>
      <c r="HFP91" s="24"/>
      <c r="HFQ91" s="24"/>
      <c r="HFR91" s="24"/>
      <c r="HFS91" s="24"/>
      <c r="HFT91" s="24"/>
      <c r="HFU91" s="24"/>
      <c r="HFV91" s="24"/>
      <c r="HFW91" s="24"/>
      <c r="HFX91" s="24"/>
      <c r="HFY91" s="24"/>
      <c r="HFZ91" s="24"/>
      <c r="HGA91" s="24"/>
      <c r="HGB91" s="24"/>
      <c r="HGC91" s="24"/>
      <c r="HGD91" s="24"/>
      <c r="HGE91" s="24"/>
      <c r="HGF91" s="24"/>
      <c r="HGG91" s="24"/>
      <c r="HGH91" s="24"/>
      <c r="HGI91" s="24"/>
      <c r="HGJ91" s="24"/>
      <c r="HGK91" s="24"/>
      <c r="HGL91" s="24"/>
      <c r="HGM91" s="24"/>
      <c r="HGN91" s="24"/>
      <c r="HGO91" s="24"/>
      <c r="HGP91" s="24"/>
      <c r="HGQ91" s="24"/>
      <c r="HGR91" s="24"/>
      <c r="HGS91" s="24"/>
      <c r="HGT91" s="24"/>
      <c r="HGU91" s="24"/>
      <c r="HGV91" s="24"/>
      <c r="HGW91" s="24"/>
      <c r="HGX91" s="24"/>
      <c r="HGY91" s="24"/>
      <c r="HGZ91" s="24"/>
      <c r="HHA91" s="24"/>
      <c r="HHB91" s="24"/>
      <c r="HHC91" s="24"/>
      <c r="HHD91" s="24"/>
      <c r="HHE91" s="24"/>
      <c r="HHF91" s="24"/>
      <c r="HHG91" s="24"/>
      <c r="HHH91" s="24"/>
      <c r="HHI91" s="24"/>
      <c r="HHJ91" s="24"/>
      <c r="HHK91" s="24"/>
      <c r="HHL91" s="24"/>
      <c r="HHM91" s="24"/>
      <c r="HHN91" s="24"/>
      <c r="HHO91" s="24"/>
      <c r="HHP91" s="24"/>
      <c r="HHQ91" s="24"/>
      <c r="HHR91" s="24"/>
      <c r="HHS91" s="24"/>
      <c r="HHT91" s="24"/>
      <c r="HHU91" s="24"/>
      <c r="HHV91" s="24"/>
      <c r="HHW91" s="24"/>
      <c r="HHX91" s="24"/>
      <c r="HHY91" s="24"/>
      <c r="HHZ91" s="24"/>
      <c r="HIA91" s="24"/>
      <c r="HIB91" s="24"/>
      <c r="HIC91" s="24"/>
      <c r="HID91" s="24"/>
      <c r="HIE91" s="24"/>
      <c r="HIF91" s="24"/>
      <c r="HIG91" s="24"/>
      <c r="HIH91" s="24"/>
      <c r="HII91" s="24"/>
      <c r="HIJ91" s="24"/>
      <c r="HIK91" s="24"/>
      <c r="HIL91" s="24"/>
      <c r="HIM91" s="24"/>
      <c r="HIN91" s="24"/>
      <c r="HIO91" s="24"/>
      <c r="HIP91" s="24"/>
      <c r="HIQ91" s="24"/>
      <c r="HIR91" s="24"/>
      <c r="HIS91" s="24"/>
      <c r="HIT91" s="24"/>
      <c r="HIU91" s="24"/>
      <c r="HIV91" s="24"/>
      <c r="HIW91" s="24"/>
      <c r="HIX91" s="24"/>
      <c r="HIY91" s="24"/>
      <c r="HIZ91" s="24"/>
      <c r="HJA91" s="24"/>
      <c r="HJB91" s="24"/>
      <c r="HJC91" s="24"/>
      <c r="HJD91" s="24"/>
      <c r="HJE91" s="24"/>
      <c r="HJF91" s="24"/>
      <c r="HJG91" s="24"/>
      <c r="HJH91" s="24"/>
      <c r="HJI91" s="24"/>
      <c r="HJJ91" s="24"/>
      <c r="HJK91" s="24"/>
      <c r="HJL91" s="24"/>
      <c r="HJM91" s="24"/>
      <c r="HJN91" s="24"/>
      <c r="HJO91" s="24"/>
      <c r="HJP91" s="24"/>
      <c r="HJQ91" s="24"/>
      <c r="HJR91" s="24"/>
      <c r="HJS91" s="24"/>
      <c r="HJT91" s="24"/>
      <c r="HJU91" s="24"/>
      <c r="HJV91" s="24"/>
      <c r="HJW91" s="24"/>
      <c r="HJX91" s="24"/>
      <c r="HJY91" s="24"/>
      <c r="HJZ91" s="24"/>
      <c r="HKA91" s="24"/>
      <c r="HKB91" s="24"/>
      <c r="HKC91" s="24"/>
      <c r="HKD91" s="24"/>
      <c r="HKE91" s="24"/>
      <c r="HKF91" s="24"/>
      <c r="HKG91" s="24"/>
      <c r="HKH91" s="24"/>
      <c r="HKI91" s="24"/>
      <c r="HKJ91" s="24"/>
      <c r="HKK91" s="24"/>
      <c r="HKL91" s="24"/>
      <c r="HKM91" s="24"/>
      <c r="HKN91" s="24"/>
      <c r="HKO91" s="24"/>
      <c r="HKP91" s="24"/>
      <c r="HKQ91" s="24"/>
      <c r="HKR91" s="24"/>
      <c r="HKS91" s="24"/>
      <c r="HKT91" s="24"/>
      <c r="HKU91" s="24"/>
      <c r="HKV91" s="24"/>
      <c r="HKW91" s="24"/>
      <c r="HKX91" s="24"/>
      <c r="HKY91" s="24"/>
      <c r="HKZ91" s="24"/>
      <c r="HLA91" s="24"/>
      <c r="HLB91" s="24"/>
      <c r="HLC91" s="24"/>
      <c r="HLD91" s="24"/>
      <c r="HLE91" s="24"/>
      <c r="HLF91" s="24"/>
      <c r="HLG91" s="24"/>
      <c r="HLH91" s="24"/>
      <c r="HLI91" s="24"/>
      <c r="HLJ91" s="24"/>
      <c r="HLK91" s="24"/>
      <c r="HLL91" s="24"/>
      <c r="HLM91" s="24"/>
      <c r="HLN91" s="24"/>
      <c r="HLO91" s="24"/>
      <c r="HLP91" s="24"/>
      <c r="HLQ91" s="24"/>
      <c r="HLR91" s="24"/>
      <c r="HLS91" s="24"/>
      <c r="HLT91" s="24"/>
      <c r="HLU91" s="24"/>
      <c r="HLV91" s="24"/>
      <c r="HLW91" s="24"/>
      <c r="HLX91" s="24"/>
      <c r="HLY91" s="24"/>
      <c r="HLZ91" s="24"/>
      <c r="HMA91" s="24"/>
      <c r="HMB91" s="24"/>
      <c r="HMC91" s="24"/>
      <c r="HMD91" s="24"/>
      <c r="HME91" s="24"/>
      <c r="HMF91" s="24"/>
      <c r="HMG91" s="24"/>
      <c r="HMH91" s="24"/>
      <c r="HMI91" s="24"/>
      <c r="HMJ91" s="24"/>
      <c r="HMK91" s="24"/>
      <c r="HML91" s="24"/>
      <c r="HMM91" s="24"/>
      <c r="HMN91" s="24"/>
      <c r="HMO91" s="24"/>
      <c r="HMP91" s="24"/>
      <c r="HMQ91" s="24"/>
      <c r="HMR91" s="24"/>
      <c r="HMS91" s="24"/>
      <c r="HMT91" s="24"/>
      <c r="HMU91" s="24"/>
      <c r="HMV91" s="24"/>
      <c r="HMW91" s="24"/>
      <c r="HMX91" s="24"/>
      <c r="HMY91" s="24"/>
      <c r="HMZ91" s="24"/>
      <c r="HNA91" s="24"/>
      <c r="HNB91" s="24"/>
      <c r="HNC91" s="24"/>
      <c r="HND91" s="24"/>
      <c r="HNE91" s="24"/>
      <c r="HNF91" s="24"/>
      <c r="HNG91" s="24"/>
      <c r="HNH91" s="24"/>
      <c r="HNI91" s="24"/>
      <c r="HNJ91" s="24"/>
      <c r="HNK91" s="24"/>
      <c r="HNL91" s="24"/>
      <c r="HNM91" s="24"/>
      <c r="HNN91" s="24"/>
      <c r="HNO91" s="24"/>
      <c r="HNP91" s="24"/>
      <c r="HNQ91" s="24"/>
      <c r="HNR91" s="24"/>
      <c r="HNS91" s="24"/>
      <c r="HNT91" s="24"/>
      <c r="HNU91" s="24"/>
      <c r="HNV91" s="24"/>
      <c r="HNW91" s="24"/>
      <c r="HNX91" s="24"/>
      <c r="HNY91" s="24"/>
      <c r="HNZ91" s="24"/>
      <c r="HOA91" s="24"/>
      <c r="HOB91" s="24"/>
      <c r="HOC91" s="24"/>
      <c r="HOD91" s="24"/>
      <c r="HOE91" s="24"/>
      <c r="HOF91" s="24"/>
      <c r="HOG91" s="24"/>
      <c r="HOH91" s="24"/>
      <c r="HOI91" s="24"/>
      <c r="HOJ91" s="24"/>
      <c r="HOK91" s="24"/>
      <c r="HOL91" s="24"/>
      <c r="HOM91" s="24"/>
      <c r="HON91" s="24"/>
      <c r="HOO91" s="24"/>
      <c r="HOP91" s="24"/>
      <c r="HOQ91" s="24"/>
      <c r="HOR91" s="24"/>
      <c r="HOS91" s="24"/>
      <c r="HOT91" s="24"/>
      <c r="HOU91" s="24"/>
      <c r="HOV91" s="24"/>
      <c r="HOW91" s="24"/>
      <c r="HOX91" s="24"/>
      <c r="HOY91" s="24"/>
      <c r="HOZ91" s="24"/>
      <c r="HPA91" s="24"/>
      <c r="HPB91" s="24"/>
      <c r="HPC91" s="24"/>
      <c r="HPD91" s="24"/>
      <c r="HPE91" s="24"/>
      <c r="HPF91" s="24"/>
      <c r="HPG91" s="24"/>
      <c r="HPH91" s="24"/>
      <c r="HPI91" s="24"/>
      <c r="HPJ91" s="24"/>
      <c r="HPK91" s="24"/>
      <c r="HPL91" s="24"/>
      <c r="HPM91" s="24"/>
      <c r="HPN91" s="24"/>
      <c r="HPO91" s="24"/>
      <c r="HPP91" s="24"/>
      <c r="HPQ91" s="24"/>
      <c r="HPR91" s="24"/>
      <c r="HPS91" s="24"/>
      <c r="HPT91" s="24"/>
      <c r="HPU91" s="24"/>
      <c r="HPV91" s="24"/>
      <c r="HPW91" s="24"/>
      <c r="HPX91" s="24"/>
      <c r="HPY91" s="24"/>
      <c r="HPZ91" s="24"/>
      <c r="HQA91" s="24"/>
      <c r="HQB91" s="24"/>
      <c r="HQC91" s="24"/>
      <c r="HQD91" s="24"/>
      <c r="HQE91" s="24"/>
      <c r="HQF91" s="24"/>
      <c r="HQG91" s="24"/>
      <c r="HQH91" s="24"/>
      <c r="HQI91" s="24"/>
      <c r="HQJ91" s="24"/>
      <c r="HQK91" s="24"/>
      <c r="HQL91" s="24"/>
      <c r="HQM91" s="24"/>
      <c r="HQN91" s="24"/>
      <c r="HQO91" s="24"/>
      <c r="HQP91" s="24"/>
      <c r="HQQ91" s="24"/>
      <c r="HQR91" s="24"/>
      <c r="HQS91" s="24"/>
      <c r="HQT91" s="24"/>
      <c r="HQU91" s="24"/>
      <c r="HQV91" s="24"/>
      <c r="HQW91" s="24"/>
      <c r="HQX91" s="24"/>
      <c r="HQY91" s="24"/>
      <c r="HQZ91" s="24"/>
      <c r="HRA91" s="24"/>
      <c r="HRB91" s="24"/>
      <c r="HRC91" s="24"/>
      <c r="HRD91" s="24"/>
      <c r="HRE91" s="24"/>
      <c r="HRF91" s="24"/>
      <c r="HRG91" s="24"/>
      <c r="HRH91" s="24"/>
      <c r="HRI91" s="24"/>
      <c r="HRJ91" s="24"/>
      <c r="HRK91" s="24"/>
      <c r="HRL91" s="24"/>
      <c r="HRM91" s="24"/>
      <c r="HRN91" s="24"/>
      <c r="HRO91" s="24"/>
      <c r="HRP91" s="24"/>
      <c r="HRQ91" s="24"/>
      <c r="HRR91" s="24"/>
      <c r="HRS91" s="24"/>
      <c r="HRT91" s="24"/>
      <c r="HRU91" s="24"/>
      <c r="HRV91" s="24"/>
      <c r="HRW91" s="24"/>
      <c r="HRX91" s="24"/>
      <c r="HRY91" s="24"/>
      <c r="HRZ91" s="24"/>
      <c r="HSA91" s="24"/>
      <c r="HSB91" s="24"/>
      <c r="HSC91" s="24"/>
      <c r="HSD91" s="24"/>
      <c r="HSE91" s="24"/>
      <c r="HSF91" s="24"/>
      <c r="HSG91" s="24"/>
      <c r="HSH91" s="24"/>
      <c r="HSI91" s="24"/>
      <c r="HSJ91" s="24"/>
      <c r="HSK91" s="24"/>
      <c r="HSL91" s="24"/>
      <c r="HSM91" s="24"/>
      <c r="HSN91" s="24"/>
      <c r="HSO91" s="24"/>
      <c r="HSP91" s="24"/>
      <c r="HSQ91" s="24"/>
      <c r="HSR91" s="24"/>
      <c r="HSS91" s="24"/>
      <c r="HST91" s="24"/>
      <c r="HSU91" s="24"/>
      <c r="HSV91" s="24"/>
      <c r="HSW91" s="24"/>
      <c r="HSX91" s="24"/>
      <c r="HSY91" s="24"/>
      <c r="HSZ91" s="24"/>
      <c r="HTA91" s="24"/>
      <c r="HTB91" s="24"/>
      <c r="HTC91" s="24"/>
      <c r="HTD91" s="24"/>
      <c r="HTE91" s="24"/>
      <c r="HTF91" s="24"/>
      <c r="HTG91" s="24"/>
      <c r="HTH91" s="24"/>
      <c r="HTI91" s="24"/>
      <c r="HTJ91" s="24"/>
      <c r="HTK91" s="24"/>
      <c r="HTL91" s="24"/>
      <c r="HTM91" s="24"/>
      <c r="HTN91" s="24"/>
      <c r="HTO91" s="24"/>
      <c r="HTP91" s="24"/>
      <c r="HTQ91" s="24"/>
      <c r="HTR91" s="24"/>
      <c r="HTS91" s="24"/>
      <c r="HTT91" s="24"/>
      <c r="HTU91" s="24"/>
      <c r="HTV91" s="24"/>
      <c r="HTW91" s="24"/>
      <c r="HTX91" s="24"/>
      <c r="HTY91" s="24"/>
      <c r="HTZ91" s="24"/>
      <c r="HUA91" s="24"/>
      <c r="HUB91" s="24"/>
      <c r="HUC91" s="24"/>
      <c r="HUD91" s="24"/>
      <c r="HUE91" s="24"/>
      <c r="HUF91" s="24"/>
      <c r="HUG91" s="24"/>
      <c r="HUH91" s="24"/>
      <c r="HUI91" s="24"/>
      <c r="HUJ91" s="24"/>
      <c r="HUK91" s="24"/>
      <c r="HUL91" s="24"/>
      <c r="HUM91" s="24"/>
      <c r="HUN91" s="24"/>
      <c r="HUO91" s="24"/>
      <c r="HUP91" s="24"/>
      <c r="HUQ91" s="24"/>
      <c r="HUR91" s="24"/>
      <c r="HUS91" s="24"/>
      <c r="HUT91" s="24"/>
      <c r="HUU91" s="24"/>
      <c r="HUV91" s="24"/>
      <c r="HUW91" s="24"/>
      <c r="HUX91" s="24"/>
      <c r="HUY91" s="24"/>
      <c r="HUZ91" s="24"/>
      <c r="HVA91" s="24"/>
      <c r="HVB91" s="24"/>
      <c r="HVC91" s="24"/>
      <c r="HVD91" s="24"/>
      <c r="HVE91" s="24"/>
      <c r="HVF91" s="24"/>
      <c r="HVG91" s="24"/>
      <c r="HVH91" s="24"/>
      <c r="HVI91" s="24"/>
      <c r="HVJ91" s="24"/>
      <c r="HVK91" s="24"/>
      <c r="HVL91" s="24"/>
      <c r="HVM91" s="24"/>
      <c r="HVN91" s="24"/>
      <c r="HVO91" s="24"/>
      <c r="HVP91" s="24"/>
      <c r="HVQ91" s="24"/>
      <c r="HVR91" s="24"/>
      <c r="HVS91" s="24"/>
      <c r="HVT91" s="24"/>
      <c r="HVU91" s="24"/>
      <c r="HVV91" s="24"/>
      <c r="HVW91" s="24"/>
      <c r="HVX91" s="24"/>
      <c r="HVY91" s="24"/>
      <c r="HVZ91" s="24"/>
      <c r="HWA91" s="24"/>
      <c r="HWB91" s="24"/>
      <c r="HWC91" s="24"/>
      <c r="HWD91" s="24"/>
      <c r="HWE91" s="24"/>
      <c r="HWF91" s="24"/>
      <c r="HWG91" s="24"/>
      <c r="HWH91" s="24"/>
      <c r="HWI91" s="24"/>
      <c r="HWJ91" s="24"/>
      <c r="HWK91" s="24"/>
      <c r="HWL91" s="24"/>
      <c r="HWM91" s="24"/>
      <c r="HWN91" s="24"/>
      <c r="HWO91" s="24"/>
      <c r="HWP91" s="24"/>
      <c r="HWQ91" s="24"/>
      <c r="HWR91" s="24"/>
      <c r="HWS91" s="24"/>
      <c r="HWT91" s="24"/>
      <c r="HWU91" s="24"/>
      <c r="HWV91" s="24"/>
      <c r="HWW91" s="24"/>
      <c r="HWX91" s="24"/>
      <c r="HWY91" s="24"/>
      <c r="HWZ91" s="24"/>
      <c r="HXA91" s="24"/>
      <c r="HXB91" s="24"/>
      <c r="HXC91" s="24"/>
      <c r="HXD91" s="24"/>
      <c r="HXE91" s="24"/>
      <c r="HXF91" s="24"/>
      <c r="HXG91" s="24"/>
      <c r="HXH91" s="24"/>
      <c r="HXI91" s="24"/>
      <c r="HXJ91" s="24"/>
      <c r="HXK91" s="24"/>
      <c r="HXL91" s="24"/>
      <c r="HXM91" s="24"/>
      <c r="HXN91" s="24"/>
      <c r="HXO91" s="24"/>
      <c r="HXP91" s="24"/>
      <c r="HXQ91" s="24"/>
      <c r="HXR91" s="24"/>
      <c r="HXS91" s="24"/>
      <c r="HXT91" s="24"/>
      <c r="HXU91" s="24"/>
      <c r="HXV91" s="24"/>
      <c r="HXW91" s="24"/>
      <c r="HXX91" s="24"/>
      <c r="HXY91" s="24"/>
      <c r="HXZ91" s="24"/>
      <c r="HYA91" s="24"/>
      <c r="HYB91" s="24"/>
      <c r="HYC91" s="24"/>
      <c r="HYD91" s="24"/>
      <c r="HYE91" s="24"/>
      <c r="HYF91" s="24"/>
      <c r="HYG91" s="24"/>
      <c r="HYH91" s="24"/>
      <c r="HYI91" s="24"/>
      <c r="HYJ91" s="24"/>
      <c r="HYK91" s="24"/>
      <c r="HYL91" s="24"/>
      <c r="HYM91" s="24"/>
      <c r="HYN91" s="24"/>
      <c r="HYO91" s="24"/>
      <c r="HYP91" s="24"/>
      <c r="HYQ91" s="24"/>
      <c r="HYR91" s="24"/>
      <c r="HYS91" s="24"/>
      <c r="HYT91" s="24"/>
      <c r="HYU91" s="24"/>
      <c r="HYV91" s="24"/>
      <c r="HYW91" s="24"/>
      <c r="HYX91" s="24"/>
      <c r="HYY91" s="24"/>
      <c r="HYZ91" s="24"/>
      <c r="HZA91" s="24"/>
      <c r="HZB91" s="24"/>
      <c r="HZC91" s="24"/>
      <c r="HZD91" s="24"/>
      <c r="HZE91" s="24"/>
      <c r="HZF91" s="24"/>
      <c r="HZG91" s="24"/>
      <c r="HZH91" s="24"/>
      <c r="HZI91" s="24"/>
      <c r="HZJ91" s="24"/>
      <c r="HZK91" s="24"/>
      <c r="HZL91" s="24"/>
      <c r="HZM91" s="24"/>
      <c r="HZN91" s="24"/>
      <c r="HZO91" s="24"/>
      <c r="HZP91" s="24"/>
      <c r="HZQ91" s="24"/>
      <c r="HZR91" s="24"/>
      <c r="HZS91" s="24"/>
      <c r="HZT91" s="24"/>
      <c r="HZU91" s="24"/>
      <c r="HZV91" s="24"/>
      <c r="HZW91" s="24"/>
      <c r="HZX91" s="24"/>
      <c r="HZY91" s="24"/>
      <c r="HZZ91" s="24"/>
      <c r="IAA91" s="24"/>
      <c r="IAB91" s="24"/>
      <c r="IAC91" s="24"/>
      <c r="IAD91" s="24"/>
      <c r="IAE91" s="24"/>
      <c r="IAF91" s="24"/>
      <c r="IAG91" s="24"/>
      <c r="IAH91" s="24"/>
      <c r="IAI91" s="24"/>
      <c r="IAJ91" s="24"/>
      <c r="IAK91" s="24"/>
      <c r="IAL91" s="24"/>
      <c r="IAM91" s="24"/>
      <c r="IAN91" s="24"/>
      <c r="IAO91" s="24"/>
      <c r="IAP91" s="24"/>
      <c r="IAQ91" s="24"/>
      <c r="IAR91" s="24"/>
      <c r="IAS91" s="24"/>
      <c r="IAT91" s="24"/>
      <c r="IAU91" s="24"/>
      <c r="IAV91" s="24"/>
      <c r="IAW91" s="24"/>
      <c r="IAX91" s="24"/>
      <c r="IAY91" s="24"/>
      <c r="IAZ91" s="24"/>
      <c r="IBA91" s="24"/>
      <c r="IBB91" s="24"/>
      <c r="IBC91" s="24"/>
      <c r="IBD91" s="24"/>
      <c r="IBE91" s="24"/>
      <c r="IBF91" s="24"/>
      <c r="IBG91" s="24"/>
      <c r="IBH91" s="24"/>
      <c r="IBI91" s="24"/>
      <c r="IBJ91" s="24"/>
      <c r="IBK91" s="24"/>
      <c r="IBL91" s="24"/>
      <c r="IBM91" s="24"/>
      <c r="IBN91" s="24"/>
      <c r="IBO91" s="24"/>
      <c r="IBP91" s="24"/>
      <c r="IBQ91" s="24"/>
      <c r="IBR91" s="24"/>
      <c r="IBS91" s="24"/>
      <c r="IBT91" s="24"/>
      <c r="IBU91" s="24"/>
      <c r="IBV91" s="24"/>
      <c r="IBW91" s="24"/>
      <c r="IBX91" s="24"/>
      <c r="IBY91" s="24"/>
      <c r="IBZ91" s="24"/>
      <c r="ICA91" s="24"/>
      <c r="ICB91" s="24"/>
      <c r="ICC91" s="24"/>
      <c r="ICD91" s="24"/>
      <c r="ICE91" s="24"/>
      <c r="ICF91" s="24"/>
      <c r="ICG91" s="24"/>
      <c r="ICH91" s="24"/>
      <c r="ICI91" s="24"/>
      <c r="ICJ91" s="24"/>
      <c r="ICK91" s="24"/>
      <c r="ICL91" s="24"/>
      <c r="ICM91" s="24"/>
      <c r="ICN91" s="24"/>
      <c r="ICO91" s="24"/>
      <c r="ICP91" s="24"/>
      <c r="ICQ91" s="24"/>
      <c r="ICR91" s="24"/>
      <c r="ICS91" s="24"/>
      <c r="ICT91" s="24"/>
      <c r="ICU91" s="24"/>
      <c r="ICV91" s="24"/>
      <c r="ICW91" s="24"/>
      <c r="ICX91" s="24"/>
      <c r="ICY91" s="24"/>
      <c r="ICZ91" s="24"/>
      <c r="IDA91" s="24"/>
      <c r="IDB91" s="24"/>
      <c r="IDC91" s="24"/>
      <c r="IDD91" s="24"/>
      <c r="IDE91" s="24"/>
      <c r="IDF91" s="24"/>
      <c r="IDG91" s="24"/>
      <c r="IDH91" s="24"/>
      <c r="IDI91" s="24"/>
      <c r="IDJ91" s="24"/>
      <c r="IDK91" s="24"/>
      <c r="IDL91" s="24"/>
      <c r="IDM91" s="24"/>
      <c r="IDN91" s="24"/>
      <c r="IDO91" s="24"/>
      <c r="IDP91" s="24"/>
      <c r="IDQ91" s="24"/>
      <c r="IDR91" s="24"/>
      <c r="IDS91" s="24"/>
      <c r="IDT91" s="24"/>
      <c r="IDU91" s="24"/>
      <c r="IDV91" s="24"/>
      <c r="IDW91" s="24"/>
      <c r="IDX91" s="24"/>
      <c r="IDY91" s="24"/>
      <c r="IDZ91" s="24"/>
      <c r="IEA91" s="24"/>
      <c r="IEB91" s="24"/>
      <c r="IEC91" s="24"/>
      <c r="IED91" s="24"/>
      <c r="IEE91" s="24"/>
      <c r="IEF91" s="24"/>
      <c r="IEG91" s="24"/>
      <c r="IEH91" s="24"/>
      <c r="IEI91" s="24"/>
      <c r="IEJ91" s="24"/>
      <c r="IEK91" s="24"/>
      <c r="IEL91" s="24"/>
      <c r="IEM91" s="24"/>
      <c r="IEN91" s="24"/>
      <c r="IEO91" s="24"/>
      <c r="IEP91" s="24"/>
      <c r="IEQ91" s="24"/>
      <c r="IER91" s="24"/>
      <c r="IES91" s="24"/>
      <c r="IET91" s="24"/>
      <c r="IEU91" s="24"/>
      <c r="IEV91" s="24"/>
      <c r="IEW91" s="24"/>
      <c r="IEX91" s="24"/>
      <c r="IEY91" s="24"/>
      <c r="IEZ91" s="24"/>
      <c r="IFA91" s="24"/>
      <c r="IFB91" s="24"/>
      <c r="IFC91" s="24"/>
      <c r="IFD91" s="24"/>
      <c r="IFE91" s="24"/>
      <c r="IFF91" s="24"/>
      <c r="IFG91" s="24"/>
      <c r="IFH91" s="24"/>
      <c r="IFI91" s="24"/>
      <c r="IFJ91" s="24"/>
      <c r="IFK91" s="24"/>
      <c r="IFL91" s="24"/>
      <c r="IFM91" s="24"/>
      <c r="IFN91" s="24"/>
      <c r="IFO91" s="24"/>
      <c r="IFP91" s="24"/>
      <c r="IFQ91" s="24"/>
      <c r="IFR91" s="24"/>
      <c r="IFS91" s="24"/>
      <c r="IFT91" s="24"/>
      <c r="IFU91" s="24"/>
      <c r="IFV91" s="24"/>
      <c r="IFW91" s="24"/>
      <c r="IFX91" s="24"/>
      <c r="IFY91" s="24"/>
      <c r="IFZ91" s="24"/>
      <c r="IGA91" s="24"/>
      <c r="IGB91" s="24"/>
      <c r="IGC91" s="24"/>
      <c r="IGD91" s="24"/>
      <c r="IGE91" s="24"/>
      <c r="IGF91" s="24"/>
      <c r="IGG91" s="24"/>
      <c r="IGH91" s="24"/>
      <c r="IGI91" s="24"/>
      <c r="IGJ91" s="24"/>
      <c r="IGK91" s="24"/>
      <c r="IGL91" s="24"/>
      <c r="IGM91" s="24"/>
      <c r="IGN91" s="24"/>
      <c r="IGO91" s="24"/>
      <c r="IGP91" s="24"/>
      <c r="IGQ91" s="24"/>
      <c r="IGR91" s="24"/>
      <c r="IGS91" s="24"/>
      <c r="IGT91" s="24"/>
      <c r="IGU91" s="24"/>
      <c r="IGV91" s="24"/>
      <c r="IGW91" s="24"/>
      <c r="IGX91" s="24"/>
      <c r="IGY91" s="24"/>
      <c r="IGZ91" s="24"/>
      <c r="IHA91" s="24"/>
      <c r="IHB91" s="24"/>
      <c r="IHC91" s="24"/>
      <c r="IHD91" s="24"/>
      <c r="IHE91" s="24"/>
      <c r="IHF91" s="24"/>
      <c r="IHG91" s="24"/>
      <c r="IHH91" s="24"/>
      <c r="IHI91" s="24"/>
      <c r="IHJ91" s="24"/>
      <c r="IHK91" s="24"/>
      <c r="IHL91" s="24"/>
      <c r="IHM91" s="24"/>
      <c r="IHN91" s="24"/>
      <c r="IHO91" s="24"/>
      <c r="IHP91" s="24"/>
      <c r="IHQ91" s="24"/>
      <c r="IHR91" s="24"/>
      <c r="IHS91" s="24"/>
      <c r="IHT91" s="24"/>
      <c r="IHU91" s="24"/>
      <c r="IHV91" s="24"/>
      <c r="IHW91" s="24"/>
      <c r="IHX91" s="24"/>
      <c r="IHY91" s="24"/>
      <c r="IHZ91" s="24"/>
      <c r="IIA91" s="24"/>
      <c r="IIB91" s="24"/>
      <c r="IIC91" s="24"/>
      <c r="IID91" s="24"/>
      <c r="IIE91" s="24"/>
      <c r="IIF91" s="24"/>
      <c r="IIG91" s="24"/>
      <c r="IIH91" s="24"/>
      <c r="III91" s="24"/>
      <c r="IIJ91" s="24"/>
      <c r="IIK91" s="24"/>
      <c r="IIL91" s="24"/>
      <c r="IIM91" s="24"/>
      <c r="IIN91" s="24"/>
      <c r="IIO91" s="24"/>
      <c r="IIP91" s="24"/>
      <c r="IIQ91" s="24"/>
      <c r="IIR91" s="24"/>
      <c r="IIS91" s="24"/>
      <c r="IIT91" s="24"/>
      <c r="IIU91" s="24"/>
      <c r="IIV91" s="24"/>
      <c r="IIW91" s="24"/>
      <c r="IIX91" s="24"/>
      <c r="IIY91" s="24"/>
      <c r="IIZ91" s="24"/>
      <c r="IJA91" s="24"/>
      <c r="IJB91" s="24"/>
      <c r="IJC91" s="24"/>
      <c r="IJD91" s="24"/>
      <c r="IJE91" s="24"/>
      <c r="IJF91" s="24"/>
      <c r="IJG91" s="24"/>
      <c r="IJH91" s="24"/>
      <c r="IJI91" s="24"/>
      <c r="IJJ91" s="24"/>
      <c r="IJK91" s="24"/>
      <c r="IJL91" s="24"/>
      <c r="IJM91" s="24"/>
      <c r="IJN91" s="24"/>
      <c r="IJO91" s="24"/>
      <c r="IJP91" s="24"/>
      <c r="IJQ91" s="24"/>
      <c r="IJR91" s="24"/>
      <c r="IJS91" s="24"/>
      <c r="IJT91" s="24"/>
      <c r="IJU91" s="24"/>
      <c r="IJV91" s="24"/>
      <c r="IJW91" s="24"/>
      <c r="IJX91" s="24"/>
      <c r="IJY91" s="24"/>
      <c r="IJZ91" s="24"/>
      <c r="IKA91" s="24"/>
      <c r="IKB91" s="24"/>
      <c r="IKC91" s="24"/>
      <c r="IKD91" s="24"/>
      <c r="IKE91" s="24"/>
      <c r="IKF91" s="24"/>
      <c r="IKG91" s="24"/>
      <c r="IKH91" s="24"/>
      <c r="IKI91" s="24"/>
      <c r="IKJ91" s="24"/>
      <c r="IKK91" s="24"/>
      <c r="IKL91" s="24"/>
      <c r="IKM91" s="24"/>
      <c r="IKN91" s="24"/>
      <c r="IKO91" s="24"/>
      <c r="IKP91" s="24"/>
      <c r="IKQ91" s="24"/>
      <c r="IKR91" s="24"/>
      <c r="IKS91" s="24"/>
      <c r="IKT91" s="24"/>
      <c r="IKU91" s="24"/>
      <c r="IKV91" s="24"/>
      <c r="IKW91" s="24"/>
      <c r="IKX91" s="24"/>
      <c r="IKY91" s="24"/>
      <c r="IKZ91" s="24"/>
      <c r="ILA91" s="24"/>
      <c r="ILB91" s="24"/>
      <c r="ILC91" s="24"/>
      <c r="ILD91" s="24"/>
      <c r="ILE91" s="24"/>
      <c r="ILF91" s="24"/>
      <c r="ILG91" s="24"/>
      <c r="ILH91" s="24"/>
      <c r="ILI91" s="24"/>
      <c r="ILJ91" s="24"/>
      <c r="ILK91" s="24"/>
      <c r="ILL91" s="24"/>
      <c r="ILM91" s="24"/>
      <c r="ILN91" s="24"/>
      <c r="ILO91" s="24"/>
      <c r="ILP91" s="24"/>
      <c r="ILQ91" s="24"/>
      <c r="ILR91" s="24"/>
      <c r="ILS91" s="24"/>
      <c r="ILT91" s="24"/>
      <c r="ILU91" s="24"/>
      <c r="ILV91" s="24"/>
      <c r="ILW91" s="24"/>
      <c r="ILX91" s="24"/>
      <c r="ILY91" s="24"/>
      <c r="ILZ91" s="24"/>
      <c r="IMA91" s="24"/>
      <c r="IMB91" s="24"/>
      <c r="IMC91" s="24"/>
      <c r="IMD91" s="24"/>
      <c r="IME91" s="24"/>
      <c r="IMF91" s="24"/>
      <c r="IMG91" s="24"/>
      <c r="IMH91" s="24"/>
      <c r="IMI91" s="24"/>
      <c r="IMJ91" s="24"/>
      <c r="IMK91" s="24"/>
      <c r="IML91" s="24"/>
      <c r="IMM91" s="24"/>
      <c r="IMN91" s="24"/>
      <c r="IMO91" s="24"/>
      <c r="IMP91" s="24"/>
      <c r="IMQ91" s="24"/>
      <c r="IMR91" s="24"/>
      <c r="IMS91" s="24"/>
      <c r="IMT91" s="24"/>
      <c r="IMU91" s="24"/>
      <c r="IMV91" s="24"/>
      <c r="IMW91" s="24"/>
      <c r="IMX91" s="24"/>
      <c r="IMY91" s="24"/>
      <c r="IMZ91" s="24"/>
      <c r="INA91" s="24"/>
      <c r="INB91" s="24"/>
      <c r="INC91" s="24"/>
      <c r="IND91" s="24"/>
      <c r="INE91" s="24"/>
      <c r="INF91" s="24"/>
      <c r="ING91" s="24"/>
      <c r="INH91" s="24"/>
      <c r="INI91" s="24"/>
      <c r="INJ91" s="24"/>
      <c r="INK91" s="24"/>
      <c r="INL91" s="24"/>
      <c r="INM91" s="24"/>
      <c r="INN91" s="24"/>
      <c r="INO91" s="24"/>
      <c r="INP91" s="24"/>
      <c r="INQ91" s="24"/>
      <c r="INR91" s="24"/>
      <c r="INS91" s="24"/>
      <c r="INT91" s="24"/>
      <c r="INU91" s="24"/>
      <c r="INV91" s="24"/>
      <c r="INW91" s="24"/>
      <c r="INX91" s="24"/>
      <c r="INY91" s="24"/>
      <c r="INZ91" s="24"/>
      <c r="IOA91" s="24"/>
      <c r="IOB91" s="24"/>
      <c r="IOC91" s="24"/>
      <c r="IOD91" s="24"/>
      <c r="IOE91" s="24"/>
      <c r="IOF91" s="24"/>
      <c r="IOG91" s="24"/>
      <c r="IOH91" s="24"/>
      <c r="IOI91" s="24"/>
      <c r="IOJ91" s="24"/>
      <c r="IOK91" s="24"/>
      <c r="IOL91" s="24"/>
      <c r="IOM91" s="24"/>
      <c r="ION91" s="24"/>
      <c r="IOO91" s="24"/>
      <c r="IOP91" s="24"/>
      <c r="IOQ91" s="24"/>
      <c r="IOR91" s="24"/>
      <c r="IOS91" s="24"/>
      <c r="IOT91" s="24"/>
      <c r="IOU91" s="24"/>
      <c r="IOV91" s="24"/>
      <c r="IOW91" s="24"/>
      <c r="IOX91" s="24"/>
      <c r="IOY91" s="24"/>
      <c r="IOZ91" s="24"/>
      <c r="IPA91" s="24"/>
      <c r="IPB91" s="24"/>
      <c r="IPC91" s="24"/>
      <c r="IPD91" s="24"/>
      <c r="IPE91" s="24"/>
      <c r="IPF91" s="24"/>
      <c r="IPG91" s="24"/>
      <c r="IPH91" s="24"/>
      <c r="IPI91" s="24"/>
      <c r="IPJ91" s="24"/>
      <c r="IPK91" s="24"/>
      <c r="IPL91" s="24"/>
      <c r="IPM91" s="24"/>
      <c r="IPN91" s="24"/>
      <c r="IPO91" s="24"/>
      <c r="IPP91" s="24"/>
      <c r="IPQ91" s="24"/>
      <c r="IPR91" s="24"/>
      <c r="IPS91" s="24"/>
      <c r="IPT91" s="24"/>
      <c r="IPU91" s="24"/>
      <c r="IPV91" s="24"/>
      <c r="IPW91" s="24"/>
      <c r="IPX91" s="24"/>
      <c r="IPY91" s="24"/>
      <c r="IPZ91" s="24"/>
      <c r="IQA91" s="24"/>
      <c r="IQB91" s="24"/>
      <c r="IQC91" s="24"/>
      <c r="IQD91" s="24"/>
      <c r="IQE91" s="24"/>
      <c r="IQF91" s="24"/>
      <c r="IQG91" s="24"/>
      <c r="IQH91" s="24"/>
      <c r="IQI91" s="24"/>
      <c r="IQJ91" s="24"/>
      <c r="IQK91" s="24"/>
      <c r="IQL91" s="24"/>
      <c r="IQM91" s="24"/>
      <c r="IQN91" s="24"/>
      <c r="IQO91" s="24"/>
      <c r="IQP91" s="24"/>
      <c r="IQQ91" s="24"/>
      <c r="IQR91" s="24"/>
      <c r="IQS91" s="24"/>
      <c r="IQT91" s="24"/>
      <c r="IQU91" s="24"/>
      <c r="IQV91" s="24"/>
      <c r="IQW91" s="24"/>
      <c r="IQX91" s="24"/>
      <c r="IQY91" s="24"/>
      <c r="IQZ91" s="24"/>
      <c r="IRA91" s="24"/>
      <c r="IRB91" s="24"/>
      <c r="IRC91" s="24"/>
      <c r="IRD91" s="24"/>
      <c r="IRE91" s="24"/>
      <c r="IRF91" s="24"/>
      <c r="IRG91" s="24"/>
      <c r="IRH91" s="24"/>
      <c r="IRI91" s="24"/>
      <c r="IRJ91" s="24"/>
      <c r="IRK91" s="24"/>
      <c r="IRL91" s="24"/>
      <c r="IRM91" s="24"/>
      <c r="IRN91" s="24"/>
      <c r="IRO91" s="24"/>
      <c r="IRP91" s="24"/>
      <c r="IRQ91" s="24"/>
      <c r="IRR91" s="24"/>
      <c r="IRS91" s="24"/>
      <c r="IRT91" s="24"/>
      <c r="IRU91" s="24"/>
      <c r="IRV91" s="24"/>
      <c r="IRW91" s="24"/>
      <c r="IRX91" s="24"/>
      <c r="IRY91" s="24"/>
      <c r="IRZ91" s="24"/>
      <c r="ISA91" s="24"/>
      <c r="ISB91" s="24"/>
      <c r="ISC91" s="24"/>
      <c r="ISD91" s="24"/>
      <c r="ISE91" s="24"/>
      <c r="ISF91" s="24"/>
      <c r="ISG91" s="24"/>
      <c r="ISH91" s="24"/>
      <c r="ISI91" s="24"/>
      <c r="ISJ91" s="24"/>
      <c r="ISK91" s="24"/>
      <c r="ISL91" s="24"/>
      <c r="ISM91" s="24"/>
      <c r="ISN91" s="24"/>
      <c r="ISO91" s="24"/>
      <c r="ISP91" s="24"/>
      <c r="ISQ91" s="24"/>
      <c r="ISR91" s="24"/>
      <c r="ISS91" s="24"/>
      <c r="IST91" s="24"/>
      <c r="ISU91" s="24"/>
      <c r="ISV91" s="24"/>
      <c r="ISW91" s="24"/>
      <c r="ISX91" s="24"/>
      <c r="ISY91" s="24"/>
      <c r="ISZ91" s="24"/>
      <c r="ITA91" s="24"/>
      <c r="ITB91" s="24"/>
      <c r="ITC91" s="24"/>
      <c r="ITD91" s="24"/>
      <c r="ITE91" s="24"/>
      <c r="ITF91" s="24"/>
      <c r="ITG91" s="24"/>
      <c r="ITH91" s="24"/>
      <c r="ITI91" s="24"/>
      <c r="ITJ91" s="24"/>
      <c r="ITK91" s="24"/>
      <c r="ITL91" s="24"/>
      <c r="ITM91" s="24"/>
      <c r="ITN91" s="24"/>
      <c r="ITO91" s="24"/>
      <c r="ITP91" s="24"/>
      <c r="ITQ91" s="24"/>
      <c r="ITR91" s="24"/>
      <c r="ITS91" s="24"/>
      <c r="ITT91" s="24"/>
      <c r="ITU91" s="24"/>
      <c r="ITV91" s="24"/>
      <c r="ITW91" s="24"/>
      <c r="ITX91" s="24"/>
      <c r="ITY91" s="24"/>
      <c r="ITZ91" s="24"/>
      <c r="IUA91" s="24"/>
      <c r="IUB91" s="24"/>
      <c r="IUC91" s="24"/>
      <c r="IUD91" s="24"/>
      <c r="IUE91" s="24"/>
      <c r="IUF91" s="24"/>
      <c r="IUG91" s="24"/>
      <c r="IUH91" s="24"/>
      <c r="IUI91" s="24"/>
      <c r="IUJ91" s="24"/>
      <c r="IUK91" s="24"/>
      <c r="IUL91" s="24"/>
      <c r="IUM91" s="24"/>
      <c r="IUN91" s="24"/>
      <c r="IUO91" s="24"/>
      <c r="IUP91" s="24"/>
      <c r="IUQ91" s="24"/>
      <c r="IUR91" s="24"/>
      <c r="IUS91" s="24"/>
      <c r="IUT91" s="24"/>
      <c r="IUU91" s="24"/>
      <c r="IUV91" s="24"/>
      <c r="IUW91" s="24"/>
      <c r="IUX91" s="24"/>
      <c r="IUY91" s="24"/>
      <c r="IUZ91" s="24"/>
      <c r="IVA91" s="24"/>
      <c r="IVB91" s="24"/>
      <c r="IVC91" s="24"/>
      <c r="IVD91" s="24"/>
      <c r="IVE91" s="24"/>
      <c r="IVF91" s="24"/>
      <c r="IVG91" s="24"/>
      <c r="IVH91" s="24"/>
      <c r="IVI91" s="24"/>
      <c r="IVJ91" s="24"/>
      <c r="IVK91" s="24"/>
      <c r="IVL91" s="24"/>
      <c r="IVM91" s="24"/>
      <c r="IVN91" s="24"/>
      <c r="IVO91" s="24"/>
      <c r="IVP91" s="24"/>
      <c r="IVQ91" s="24"/>
      <c r="IVR91" s="24"/>
      <c r="IVS91" s="24"/>
      <c r="IVT91" s="24"/>
      <c r="IVU91" s="24"/>
      <c r="IVV91" s="24"/>
      <c r="IVW91" s="24"/>
      <c r="IVX91" s="24"/>
      <c r="IVY91" s="24"/>
      <c r="IVZ91" s="24"/>
      <c r="IWA91" s="24"/>
      <c r="IWB91" s="24"/>
      <c r="IWC91" s="24"/>
      <c r="IWD91" s="24"/>
      <c r="IWE91" s="24"/>
      <c r="IWF91" s="24"/>
      <c r="IWG91" s="24"/>
      <c r="IWH91" s="24"/>
      <c r="IWI91" s="24"/>
      <c r="IWJ91" s="24"/>
      <c r="IWK91" s="24"/>
      <c r="IWL91" s="24"/>
      <c r="IWM91" s="24"/>
      <c r="IWN91" s="24"/>
      <c r="IWO91" s="24"/>
      <c r="IWP91" s="24"/>
      <c r="IWQ91" s="24"/>
      <c r="IWR91" s="24"/>
      <c r="IWS91" s="24"/>
      <c r="IWT91" s="24"/>
      <c r="IWU91" s="24"/>
      <c r="IWV91" s="24"/>
      <c r="IWW91" s="24"/>
      <c r="IWX91" s="24"/>
      <c r="IWY91" s="24"/>
      <c r="IWZ91" s="24"/>
      <c r="IXA91" s="24"/>
      <c r="IXB91" s="24"/>
      <c r="IXC91" s="24"/>
      <c r="IXD91" s="24"/>
      <c r="IXE91" s="24"/>
      <c r="IXF91" s="24"/>
      <c r="IXG91" s="24"/>
      <c r="IXH91" s="24"/>
      <c r="IXI91" s="24"/>
      <c r="IXJ91" s="24"/>
      <c r="IXK91" s="24"/>
      <c r="IXL91" s="24"/>
      <c r="IXM91" s="24"/>
      <c r="IXN91" s="24"/>
      <c r="IXO91" s="24"/>
      <c r="IXP91" s="24"/>
      <c r="IXQ91" s="24"/>
      <c r="IXR91" s="24"/>
      <c r="IXS91" s="24"/>
      <c r="IXT91" s="24"/>
      <c r="IXU91" s="24"/>
      <c r="IXV91" s="24"/>
      <c r="IXW91" s="24"/>
      <c r="IXX91" s="24"/>
      <c r="IXY91" s="24"/>
      <c r="IXZ91" s="24"/>
      <c r="IYA91" s="24"/>
      <c r="IYB91" s="24"/>
      <c r="IYC91" s="24"/>
      <c r="IYD91" s="24"/>
      <c r="IYE91" s="24"/>
      <c r="IYF91" s="24"/>
      <c r="IYG91" s="24"/>
      <c r="IYH91" s="24"/>
      <c r="IYI91" s="24"/>
      <c r="IYJ91" s="24"/>
      <c r="IYK91" s="24"/>
      <c r="IYL91" s="24"/>
      <c r="IYM91" s="24"/>
      <c r="IYN91" s="24"/>
      <c r="IYO91" s="24"/>
      <c r="IYP91" s="24"/>
      <c r="IYQ91" s="24"/>
      <c r="IYR91" s="24"/>
      <c r="IYS91" s="24"/>
      <c r="IYT91" s="24"/>
      <c r="IYU91" s="24"/>
      <c r="IYV91" s="24"/>
      <c r="IYW91" s="24"/>
      <c r="IYX91" s="24"/>
      <c r="IYY91" s="24"/>
      <c r="IYZ91" s="24"/>
      <c r="IZA91" s="24"/>
      <c r="IZB91" s="24"/>
      <c r="IZC91" s="24"/>
      <c r="IZD91" s="24"/>
      <c r="IZE91" s="24"/>
      <c r="IZF91" s="24"/>
      <c r="IZG91" s="24"/>
      <c r="IZH91" s="24"/>
      <c r="IZI91" s="24"/>
      <c r="IZJ91" s="24"/>
      <c r="IZK91" s="24"/>
      <c r="IZL91" s="24"/>
      <c r="IZM91" s="24"/>
      <c r="IZN91" s="24"/>
      <c r="IZO91" s="24"/>
      <c r="IZP91" s="24"/>
      <c r="IZQ91" s="24"/>
      <c r="IZR91" s="24"/>
      <c r="IZS91" s="24"/>
      <c r="IZT91" s="24"/>
      <c r="IZU91" s="24"/>
      <c r="IZV91" s="24"/>
      <c r="IZW91" s="24"/>
      <c r="IZX91" s="24"/>
      <c r="IZY91" s="24"/>
      <c r="IZZ91" s="24"/>
      <c r="JAA91" s="24"/>
      <c r="JAB91" s="24"/>
      <c r="JAC91" s="24"/>
      <c r="JAD91" s="24"/>
      <c r="JAE91" s="24"/>
      <c r="JAF91" s="24"/>
      <c r="JAG91" s="24"/>
      <c r="JAH91" s="24"/>
      <c r="JAI91" s="24"/>
      <c r="JAJ91" s="24"/>
      <c r="JAK91" s="24"/>
      <c r="JAL91" s="24"/>
      <c r="JAM91" s="24"/>
      <c r="JAN91" s="24"/>
      <c r="JAO91" s="24"/>
      <c r="JAP91" s="24"/>
      <c r="JAQ91" s="24"/>
      <c r="JAR91" s="24"/>
      <c r="JAS91" s="24"/>
      <c r="JAT91" s="24"/>
      <c r="JAU91" s="24"/>
      <c r="JAV91" s="24"/>
      <c r="JAW91" s="24"/>
      <c r="JAX91" s="24"/>
      <c r="JAY91" s="24"/>
      <c r="JAZ91" s="24"/>
      <c r="JBA91" s="24"/>
      <c r="JBB91" s="24"/>
      <c r="JBC91" s="24"/>
      <c r="JBD91" s="24"/>
      <c r="JBE91" s="24"/>
      <c r="JBF91" s="24"/>
      <c r="JBG91" s="24"/>
      <c r="JBH91" s="24"/>
      <c r="JBI91" s="24"/>
      <c r="JBJ91" s="24"/>
      <c r="JBK91" s="24"/>
      <c r="JBL91" s="24"/>
      <c r="JBM91" s="24"/>
      <c r="JBN91" s="24"/>
      <c r="JBO91" s="24"/>
      <c r="JBP91" s="24"/>
      <c r="JBQ91" s="24"/>
      <c r="JBR91" s="24"/>
      <c r="JBS91" s="24"/>
      <c r="JBT91" s="24"/>
      <c r="JBU91" s="24"/>
      <c r="JBV91" s="24"/>
      <c r="JBW91" s="24"/>
      <c r="JBX91" s="24"/>
      <c r="JBY91" s="24"/>
      <c r="JBZ91" s="24"/>
      <c r="JCA91" s="24"/>
      <c r="JCB91" s="24"/>
      <c r="JCC91" s="24"/>
      <c r="JCD91" s="24"/>
      <c r="JCE91" s="24"/>
      <c r="JCF91" s="24"/>
      <c r="JCG91" s="24"/>
      <c r="JCH91" s="24"/>
      <c r="JCI91" s="24"/>
      <c r="JCJ91" s="24"/>
      <c r="JCK91" s="24"/>
      <c r="JCL91" s="24"/>
      <c r="JCM91" s="24"/>
      <c r="JCN91" s="24"/>
      <c r="JCO91" s="24"/>
      <c r="JCP91" s="24"/>
      <c r="JCQ91" s="24"/>
      <c r="JCR91" s="24"/>
      <c r="JCS91" s="24"/>
      <c r="JCT91" s="24"/>
      <c r="JCU91" s="24"/>
      <c r="JCV91" s="24"/>
      <c r="JCW91" s="24"/>
      <c r="JCX91" s="24"/>
      <c r="JCY91" s="24"/>
      <c r="JCZ91" s="24"/>
      <c r="JDA91" s="24"/>
      <c r="JDB91" s="24"/>
      <c r="JDC91" s="24"/>
      <c r="JDD91" s="24"/>
      <c r="JDE91" s="24"/>
      <c r="JDF91" s="24"/>
      <c r="JDG91" s="24"/>
      <c r="JDH91" s="24"/>
      <c r="JDI91" s="24"/>
      <c r="JDJ91" s="24"/>
      <c r="JDK91" s="24"/>
      <c r="JDL91" s="24"/>
      <c r="JDM91" s="24"/>
      <c r="JDN91" s="24"/>
      <c r="JDO91" s="24"/>
      <c r="JDP91" s="24"/>
      <c r="JDQ91" s="24"/>
      <c r="JDR91" s="24"/>
      <c r="JDS91" s="24"/>
      <c r="JDT91" s="24"/>
      <c r="JDU91" s="24"/>
      <c r="JDV91" s="24"/>
      <c r="JDW91" s="24"/>
      <c r="JDX91" s="24"/>
      <c r="JDY91" s="24"/>
      <c r="JDZ91" s="24"/>
      <c r="JEA91" s="24"/>
      <c r="JEB91" s="24"/>
      <c r="JEC91" s="24"/>
      <c r="JED91" s="24"/>
      <c r="JEE91" s="24"/>
      <c r="JEF91" s="24"/>
      <c r="JEG91" s="24"/>
      <c r="JEH91" s="24"/>
      <c r="JEI91" s="24"/>
      <c r="JEJ91" s="24"/>
      <c r="JEK91" s="24"/>
      <c r="JEL91" s="24"/>
      <c r="JEM91" s="24"/>
      <c r="JEN91" s="24"/>
      <c r="JEO91" s="24"/>
      <c r="JEP91" s="24"/>
      <c r="JEQ91" s="24"/>
      <c r="JER91" s="24"/>
      <c r="JES91" s="24"/>
      <c r="JET91" s="24"/>
      <c r="JEU91" s="24"/>
      <c r="JEV91" s="24"/>
      <c r="JEW91" s="24"/>
      <c r="JEX91" s="24"/>
      <c r="JEY91" s="24"/>
      <c r="JEZ91" s="24"/>
      <c r="JFA91" s="24"/>
      <c r="JFB91" s="24"/>
      <c r="JFC91" s="24"/>
      <c r="JFD91" s="24"/>
      <c r="JFE91" s="24"/>
      <c r="JFF91" s="24"/>
      <c r="JFG91" s="24"/>
      <c r="JFH91" s="24"/>
      <c r="JFI91" s="24"/>
      <c r="JFJ91" s="24"/>
      <c r="JFK91" s="24"/>
      <c r="JFL91" s="24"/>
      <c r="JFM91" s="24"/>
      <c r="JFN91" s="24"/>
      <c r="JFO91" s="24"/>
      <c r="JFP91" s="24"/>
      <c r="JFQ91" s="24"/>
      <c r="JFR91" s="24"/>
      <c r="JFS91" s="24"/>
      <c r="JFT91" s="24"/>
      <c r="JFU91" s="24"/>
      <c r="JFV91" s="24"/>
      <c r="JFW91" s="24"/>
      <c r="JFX91" s="24"/>
      <c r="JFY91" s="24"/>
      <c r="JFZ91" s="24"/>
      <c r="JGA91" s="24"/>
      <c r="JGB91" s="24"/>
      <c r="JGC91" s="24"/>
      <c r="JGD91" s="24"/>
      <c r="JGE91" s="24"/>
      <c r="JGF91" s="24"/>
      <c r="JGG91" s="24"/>
      <c r="JGH91" s="24"/>
      <c r="JGI91" s="24"/>
      <c r="JGJ91" s="24"/>
      <c r="JGK91" s="24"/>
      <c r="JGL91" s="24"/>
      <c r="JGM91" s="24"/>
      <c r="JGN91" s="24"/>
      <c r="JGO91" s="24"/>
      <c r="JGP91" s="24"/>
      <c r="JGQ91" s="24"/>
      <c r="JGR91" s="24"/>
      <c r="JGS91" s="24"/>
      <c r="JGT91" s="24"/>
      <c r="JGU91" s="24"/>
      <c r="JGV91" s="24"/>
      <c r="JGW91" s="24"/>
      <c r="JGX91" s="24"/>
      <c r="JGY91" s="24"/>
      <c r="JGZ91" s="24"/>
      <c r="JHA91" s="24"/>
      <c r="JHB91" s="24"/>
      <c r="JHC91" s="24"/>
      <c r="JHD91" s="24"/>
      <c r="JHE91" s="24"/>
      <c r="JHF91" s="24"/>
      <c r="JHG91" s="24"/>
      <c r="JHH91" s="24"/>
      <c r="JHI91" s="24"/>
      <c r="JHJ91" s="24"/>
      <c r="JHK91" s="24"/>
      <c r="JHL91" s="24"/>
      <c r="JHM91" s="24"/>
      <c r="JHN91" s="24"/>
      <c r="JHO91" s="24"/>
      <c r="JHP91" s="24"/>
      <c r="JHQ91" s="24"/>
      <c r="JHR91" s="24"/>
      <c r="JHS91" s="24"/>
      <c r="JHT91" s="24"/>
      <c r="JHU91" s="24"/>
      <c r="JHV91" s="24"/>
      <c r="JHW91" s="24"/>
      <c r="JHX91" s="24"/>
      <c r="JHY91" s="24"/>
      <c r="JHZ91" s="24"/>
      <c r="JIA91" s="24"/>
      <c r="JIB91" s="24"/>
      <c r="JIC91" s="24"/>
      <c r="JID91" s="24"/>
      <c r="JIE91" s="24"/>
      <c r="JIF91" s="24"/>
      <c r="JIG91" s="24"/>
      <c r="JIH91" s="24"/>
      <c r="JII91" s="24"/>
      <c r="JIJ91" s="24"/>
      <c r="JIK91" s="24"/>
      <c r="JIL91" s="24"/>
      <c r="JIM91" s="24"/>
      <c r="JIN91" s="24"/>
      <c r="JIO91" s="24"/>
      <c r="JIP91" s="24"/>
      <c r="JIQ91" s="24"/>
      <c r="JIR91" s="24"/>
      <c r="JIS91" s="24"/>
      <c r="JIT91" s="24"/>
      <c r="JIU91" s="24"/>
      <c r="JIV91" s="24"/>
      <c r="JIW91" s="24"/>
      <c r="JIX91" s="24"/>
      <c r="JIY91" s="24"/>
      <c r="JIZ91" s="24"/>
      <c r="JJA91" s="24"/>
      <c r="JJB91" s="24"/>
      <c r="JJC91" s="24"/>
      <c r="JJD91" s="24"/>
      <c r="JJE91" s="24"/>
      <c r="JJF91" s="24"/>
      <c r="JJG91" s="24"/>
      <c r="JJH91" s="24"/>
      <c r="JJI91" s="24"/>
      <c r="JJJ91" s="24"/>
      <c r="JJK91" s="24"/>
      <c r="JJL91" s="24"/>
      <c r="JJM91" s="24"/>
      <c r="JJN91" s="24"/>
      <c r="JJO91" s="24"/>
      <c r="JJP91" s="24"/>
      <c r="JJQ91" s="24"/>
      <c r="JJR91" s="24"/>
      <c r="JJS91" s="24"/>
      <c r="JJT91" s="24"/>
      <c r="JJU91" s="24"/>
      <c r="JJV91" s="24"/>
      <c r="JJW91" s="24"/>
      <c r="JJX91" s="24"/>
      <c r="JJY91" s="24"/>
      <c r="JJZ91" s="24"/>
      <c r="JKA91" s="24"/>
      <c r="JKB91" s="24"/>
      <c r="JKC91" s="24"/>
      <c r="JKD91" s="24"/>
      <c r="JKE91" s="24"/>
      <c r="JKF91" s="24"/>
      <c r="JKG91" s="24"/>
      <c r="JKH91" s="24"/>
      <c r="JKI91" s="24"/>
      <c r="JKJ91" s="24"/>
      <c r="JKK91" s="24"/>
      <c r="JKL91" s="24"/>
      <c r="JKM91" s="24"/>
      <c r="JKN91" s="24"/>
      <c r="JKO91" s="24"/>
      <c r="JKP91" s="24"/>
      <c r="JKQ91" s="24"/>
      <c r="JKR91" s="24"/>
      <c r="JKS91" s="24"/>
      <c r="JKT91" s="24"/>
      <c r="JKU91" s="24"/>
      <c r="JKV91" s="24"/>
      <c r="JKW91" s="24"/>
      <c r="JKX91" s="24"/>
      <c r="JKY91" s="24"/>
      <c r="JKZ91" s="24"/>
      <c r="JLA91" s="24"/>
      <c r="JLB91" s="24"/>
      <c r="JLC91" s="24"/>
      <c r="JLD91" s="24"/>
      <c r="JLE91" s="24"/>
      <c r="JLF91" s="24"/>
      <c r="JLG91" s="24"/>
      <c r="JLH91" s="24"/>
      <c r="JLI91" s="24"/>
      <c r="JLJ91" s="24"/>
      <c r="JLK91" s="24"/>
      <c r="JLL91" s="24"/>
      <c r="JLM91" s="24"/>
      <c r="JLN91" s="24"/>
      <c r="JLO91" s="24"/>
      <c r="JLP91" s="24"/>
      <c r="JLQ91" s="24"/>
      <c r="JLR91" s="24"/>
      <c r="JLS91" s="24"/>
      <c r="JLT91" s="24"/>
      <c r="JLU91" s="24"/>
      <c r="JLV91" s="24"/>
      <c r="JLW91" s="24"/>
      <c r="JLX91" s="24"/>
      <c r="JLY91" s="24"/>
      <c r="JLZ91" s="24"/>
      <c r="JMA91" s="24"/>
      <c r="JMB91" s="24"/>
      <c r="JMC91" s="24"/>
      <c r="JMD91" s="24"/>
      <c r="JME91" s="24"/>
      <c r="JMF91" s="24"/>
      <c r="JMG91" s="24"/>
      <c r="JMH91" s="24"/>
      <c r="JMI91" s="24"/>
      <c r="JMJ91" s="24"/>
      <c r="JMK91" s="24"/>
      <c r="JML91" s="24"/>
      <c r="JMM91" s="24"/>
      <c r="JMN91" s="24"/>
      <c r="JMO91" s="24"/>
      <c r="JMP91" s="24"/>
      <c r="JMQ91" s="24"/>
      <c r="JMR91" s="24"/>
      <c r="JMS91" s="24"/>
      <c r="JMT91" s="24"/>
      <c r="JMU91" s="24"/>
      <c r="JMV91" s="24"/>
      <c r="JMW91" s="24"/>
      <c r="JMX91" s="24"/>
      <c r="JMY91" s="24"/>
      <c r="JMZ91" s="24"/>
      <c r="JNA91" s="24"/>
      <c r="JNB91" s="24"/>
      <c r="JNC91" s="24"/>
      <c r="JND91" s="24"/>
      <c r="JNE91" s="24"/>
      <c r="JNF91" s="24"/>
      <c r="JNG91" s="24"/>
      <c r="JNH91" s="24"/>
      <c r="JNI91" s="24"/>
      <c r="JNJ91" s="24"/>
      <c r="JNK91" s="24"/>
      <c r="JNL91" s="24"/>
      <c r="JNM91" s="24"/>
      <c r="JNN91" s="24"/>
      <c r="JNO91" s="24"/>
      <c r="JNP91" s="24"/>
      <c r="JNQ91" s="24"/>
      <c r="JNR91" s="24"/>
      <c r="JNS91" s="24"/>
      <c r="JNT91" s="24"/>
      <c r="JNU91" s="24"/>
      <c r="JNV91" s="24"/>
      <c r="JNW91" s="24"/>
      <c r="JNX91" s="24"/>
      <c r="JNY91" s="24"/>
      <c r="JNZ91" s="24"/>
      <c r="JOA91" s="24"/>
      <c r="JOB91" s="24"/>
      <c r="JOC91" s="24"/>
      <c r="JOD91" s="24"/>
      <c r="JOE91" s="24"/>
      <c r="JOF91" s="24"/>
      <c r="JOG91" s="24"/>
      <c r="JOH91" s="24"/>
      <c r="JOI91" s="24"/>
      <c r="JOJ91" s="24"/>
      <c r="JOK91" s="24"/>
      <c r="JOL91" s="24"/>
      <c r="JOM91" s="24"/>
      <c r="JON91" s="24"/>
      <c r="JOO91" s="24"/>
      <c r="JOP91" s="24"/>
      <c r="JOQ91" s="24"/>
      <c r="JOR91" s="24"/>
      <c r="JOS91" s="24"/>
      <c r="JOT91" s="24"/>
      <c r="JOU91" s="24"/>
      <c r="JOV91" s="24"/>
      <c r="JOW91" s="24"/>
      <c r="JOX91" s="24"/>
      <c r="JOY91" s="24"/>
      <c r="JOZ91" s="24"/>
      <c r="JPA91" s="24"/>
      <c r="JPB91" s="24"/>
      <c r="JPC91" s="24"/>
      <c r="JPD91" s="24"/>
      <c r="JPE91" s="24"/>
      <c r="JPF91" s="24"/>
      <c r="JPG91" s="24"/>
      <c r="JPH91" s="24"/>
      <c r="JPI91" s="24"/>
      <c r="JPJ91" s="24"/>
      <c r="JPK91" s="24"/>
      <c r="JPL91" s="24"/>
      <c r="JPM91" s="24"/>
      <c r="JPN91" s="24"/>
      <c r="JPO91" s="24"/>
      <c r="JPP91" s="24"/>
      <c r="JPQ91" s="24"/>
      <c r="JPR91" s="24"/>
      <c r="JPS91" s="24"/>
      <c r="JPT91" s="24"/>
      <c r="JPU91" s="24"/>
      <c r="JPV91" s="24"/>
      <c r="JPW91" s="24"/>
      <c r="JPX91" s="24"/>
      <c r="JPY91" s="24"/>
      <c r="JPZ91" s="24"/>
      <c r="JQA91" s="24"/>
      <c r="JQB91" s="24"/>
      <c r="JQC91" s="24"/>
      <c r="JQD91" s="24"/>
      <c r="JQE91" s="24"/>
      <c r="JQF91" s="24"/>
      <c r="JQG91" s="24"/>
      <c r="JQH91" s="24"/>
      <c r="JQI91" s="24"/>
      <c r="JQJ91" s="24"/>
      <c r="JQK91" s="24"/>
      <c r="JQL91" s="24"/>
      <c r="JQM91" s="24"/>
      <c r="JQN91" s="24"/>
      <c r="JQO91" s="24"/>
      <c r="JQP91" s="24"/>
      <c r="JQQ91" s="24"/>
      <c r="JQR91" s="24"/>
      <c r="JQS91" s="24"/>
      <c r="JQT91" s="24"/>
      <c r="JQU91" s="24"/>
      <c r="JQV91" s="24"/>
      <c r="JQW91" s="24"/>
      <c r="JQX91" s="24"/>
      <c r="JQY91" s="24"/>
      <c r="JQZ91" s="24"/>
      <c r="JRA91" s="24"/>
      <c r="JRB91" s="24"/>
      <c r="JRC91" s="24"/>
      <c r="JRD91" s="24"/>
      <c r="JRE91" s="24"/>
      <c r="JRF91" s="24"/>
      <c r="JRG91" s="24"/>
      <c r="JRH91" s="24"/>
      <c r="JRI91" s="24"/>
      <c r="JRJ91" s="24"/>
      <c r="JRK91" s="24"/>
      <c r="JRL91" s="24"/>
      <c r="JRM91" s="24"/>
      <c r="JRN91" s="24"/>
      <c r="JRO91" s="24"/>
      <c r="JRP91" s="24"/>
      <c r="JRQ91" s="24"/>
      <c r="JRR91" s="24"/>
      <c r="JRS91" s="24"/>
      <c r="JRT91" s="24"/>
      <c r="JRU91" s="24"/>
      <c r="JRV91" s="24"/>
      <c r="JRW91" s="24"/>
      <c r="JRX91" s="24"/>
      <c r="JRY91" s="24"/>
      <c r="JRZ91" s="24"/>
      <c r="JSA91" s="24"/>
      <c r="JSB91" s="24"/>
      <c r="JSC91" s="24"/>
      <c r="JSD91" s="24"/>
      <c r="JSE91" s="24"/>
      <c r="JSF91" s="24"/>
      <c r="JSG91" s="24"/>
      <c r="JSH91" s="24"/>
      <c r="JSI91" s="24"/>
      <c r="JSJ91" s="24"/>
      <c r="JSK91" s="24"/>
      <c r="JSL91" s="24"/>
      <c r="JSM91" s="24"/>
      <c r="JSN91" s="24"/>
      <c r="JSO91" s="24"/>
      <c r="JSP91" s="24"/>
      <c r="JSQ91" s="24"/>
      <c r="JSR91" s="24"/>
      <c r="JSS91" s="24"/>
      <c r="JST91" s="24"/>
      <c r="JSU91" s="24"/>
      <c r="JSV91" s="24"/>
      <c r="JSW91" s="24"/>
      <c r="JSX91" s="24"/>
      <c r="JSY91" s="24"/>
      <c r="JSZ91" s="24"/>
      <c r="JTA91" s="24"/>
      <c r="JTB91" s="24"/>
      <c r="JTC91" s="24"/>
      <c r="JTD91" s="24"/>
      <c r="JTE91" s="24"/>
      <c r="JTF91" s="24"/>
      <c r="JTG91" s="24"/>
      <c r="JTH91" s="24"/>
      <c r="JTI91" s="24"/>
      <c r="JTJ91" s="24"/>
      <c r="JTK91" s="24"/>
      <c r="JTL91" s="24"/>
      <c r="JTM91" s="24"/>
      <c r="JTN91" s="24"/>
      <c r="JTO91" s="24"/>
      <c r="JTP91" s="24"/>
      <c r="JTQ91" s="24"/>
      <c r="JTR91" s="24"/>
      <c r="JTS91" s="24"/>
      <c r="JTT91" s="24"/>
      <c r="JTU91" s="24"/>
      <c r="JTV91" s="24"/>
      <c r="JTW91" s="24"/>
      <c r="JTX91" s="24"/>
      <c r="JTY91" s="24"/>
      <c r="JTZ91" s="24"/>
      <c r="JUA91" s="24"/>
      <c r="JUB91" s="24"/>
      <c r="JUC91" s="24"/>
      <c r="JUD91" s="24"/>
      <c r="JUE91" s="24"/>
      <c r="JUF91" s="24"/>
      <c r="JUG91" s="24"/>
      <c r="JUH91" s="24"/>
      <c r="JUI91" s="24"/>
      <c r="JUJ91" s="24"/>
      <c r="JUK91" s="24"/>
      <c r="JUL91" s="24"/>
      <c r="JUM91" s="24"/>
      <c r="JUN91" s="24"/>
      <c r="JUO91" s="24"/>
      <c r="JUP91" s="24"/>
      <c r="JUQ91" s="24"/>
      <c r="JUR91" s="24"/>
      <c r="JUS91" s="24"/>
      <c r="JUT91" s="24"/>
      <c r="JUU91" s="24"/>
      <c r="JUV91" s="24"/>
      <c r="JUW91" s="24"/>
      <c r="JUX91" s="24"/>
      <c r="JUY91" s="24"/>
      <c r="JUZ91" s="24"/>
      <c r="JVA91" s="24"/>
      <c r="JVB91" s="24"/>
      <c r="JVC91" s="24"/>
      <c r="JVD91" s="24"/>
      <c r="JVE91" s="24"/>
      <c r="JVF91" s="24"/>
      <c r="JVG91" s="24"/>
      <c r="JVH91" s="24"/>
      <c r="JVI91" s="24"/>
      <c r="JVJ91" s="24"/>
      <c r="JVK91" s="24"/>
      <c r="JVL91" s="24"/>
      <c r="JVM91" s="24"/>
      <c r="JVN91" s="24"/>
      <c r="JVO91" s="24"/>
      <c r="JVP91" s="24"/>
      <c r="JVQ91" s="24"/>
      <c r="JVR91" s="24"/>
      <c r="JVS91" s="24"/>
      <c r="JVT91" s="24"/>
      <c r="JVU91" s="24"/>
      <c r="JVV91" s="24"/>
      <c r="JVW91" s="24"/>
      <c r="JVX91" s="24"/>
      <c r="JVY91" s="24"/>
      <c r="JVZ91" s="24"/>
      <c r="JWA91" s="24"/>
      <c r="JWB91" s="24"/>
      <c r="JWC91" s="24"/>
      <c r="JWD91" s="24"/>
      <c r="JWE91" s="24"/>
      <c r="JWF91" s="24"/>
      <c r="JWG91" s="24"/>
      <c r="JWH91" s="24"/>
      <c r="JWI91" s="24"/>
      <c r="JWJ91" s="24"/>
      <c r="JWK91" s="24"/>
      <c r="JWL91" s="24"/>
      <c r="JWM91" s="24"/>
      <c r="JWN91" s="24"/>
      <c r="JWO91" s="24"/>
      <c r="JWP91" s="24"/>
      <c r="JWQ91" s="24"/>
      <c r="JWR91" s="24"/>
      <c r="JWS91" s="24"/>
      <c r="JWT91" s="24"/>
      <c r="JWU91" s="24"/>
      <c r="JWV91" s="24"/>
      <c r="JWW91" s="24"/>
      <c r="JWX91" s="24"/>
      <c r="JWY91" s="24"/>
      <c r="JWZ91" s="24"/>
      <c r="JXA91" s="24"/>
      <c r="JXB91" s="24"/>
      <c r="JXC91" s="24"/>
      <c r="JXD91" s="24"/>
      <c r="JXE91" s="24"/>
      <c r="JXF91" s="24"/>
      <c r="JXG91" s="24"/>
      <c r="JXH91" s="24"/>
      <c r="JXI91" s="24"/>
      <c r="JXJ91" s="24"/>
      <c r="JXK91" s="24"/>
      <c r="JXL91" s="24"/>
      <c r="JXM91" s="24"/>
      <c r="JXN91" s="24"/>
      <c r="JXO91" s="24"/>
      <c r="JXP91" s="24"/>
      <c r="JXQ91" s="24"/>
      <c r="JXR91" s="24"/>
      <c r="JXS91" s="24"/>
      <c r="JXT91" s="24"/>
      <c r="JXU91" s="24"/>
      <c r="JXV91" s="24"/>
      <c r="JXW91" s="24"/>
      <c r="JXX91" s="24"/>
      <c r="JXY91" s="24"/>
      <c r="JXZ91" s="24"/>
      <c r="JYA91" s="24"/>
      <c r="JYB91" s="24"/>
      <c r="JYC91" s="24"/>
      <c r="JYD91" s="24"/>
      <c r="JYE91" s="24"/>
      <c r="JYF91" s="24"/>
      <c r="JYG91" s="24"/>
      <c r="JYH91" s="24"/>
      <c r="JYI91" s="24"/>
      <c r="JYJ91" s="24"/>
      <c r="JYK91" s="24"/>
      <c r="JYL91" s="24"/>
      <c r="JYM91" s="24"/>
      <c r="JYN91" s="24"/>
      <c r="JYO91" s="24"/>
      <c r="JYP91" s="24"/>
      <c r="JYQ91" s="24"/>
      <c r="JYR91" s="24"/>
      <c r="JYS91" s="24"/>
      <c r="JYT91" s="24"/>
      <c r="JYU91" s="24"/>
      <c r="JYV91" s="24"/>
      <c r="JYW91" s="24"/>
      <c r="JYX91" s="24"/>
      <c r="JYY91" s="24"/>
      <c r="JYZ91" s="24"/>
      <c r="JZA91" s="24"/>
      <c r="JZB91" s="24"/>
      <c r="JZC91" s="24"/>
      <c r="JZD91" s="24"/>
      <c r="JZE91" s="24"/>
      <c r="JZF91" s="24"/>
      <c r="JZG91" s="24"/>
      <c r="JZH91" s="24"/>
      <c r="JZI91" s="24"/>
      <c r="JZJ91" s="24"/>
      <c r="JZK91" s="24"/>
      <c r="JZL91" s="24"/>
      <c r="JZM91" s="24"/>
      <c r="JZN91" s="24"/>
      <c r="JZO91" s="24"/>
      <c r="JZP91" s="24"/>
      <c r="JZQ91" s="24"/>
      <c r="JZR91" s="24"/>
      <c r="JZS91" s="24"/>
      <c r="JZT91" s="24"/>
      <c r="JZU91" s="24"/>
      <c r="JZV91" s="24"/>
      <c r="JZW91" s="24"/>
      <c r="JZX91" s="24"/>
      <c r="JZY91" s="24"/>
      <c r="JZZ91" s="24"/>
      <c r="KAA91" s="24"/>
      <c r="KAB91" s="24"/>
      <c r="KAC91" s="24"/>
      <c r="KAD91" s="24"/>
      <c r="KAE91" s="24"/>
      <c r="KAF91" s="24"/>
      <c r="KAG91" s="24"/>
      <c r="KAH91" s="24"/>
      <c r="KAI91" s="24"/>
      <c r="KAJ91" s="24"/>
      <c r="KAK91" s="24"/>
      <c r="KAL91" s="24"/>
      <c r="KAM91" s="24"/>
      <c r="KAN91" s="24"/>
      <c r="KAO91" s="24"/>
      <c r="KAP91" s="24"/>
      <c r="KAQ91" s="24"/>
      <c r="KAR91" s="24"/>
      <c r="KAS91" s="24"/>
      <c r="KAT91" s="24"/>
      <c r="KAU91" s="24"/>
      <c r="KAV91" s="24"/>
      <c r="KAW91" s="24"/>
      <c r="KAX91" s="24"/>
      <c r="KAY91" s="24"/>
      <c r="KAZ91" s="24"/>
      <c r="KBA91" s="24"/>
      <c r="KBB91" s="24"/>
      <c r="KBC91" s="24"/>
      <c r="KBD91" s="24"/>
      <c r="KBE91" s="24"/>
      <c r="KBF91" s="24"/>
      <c r="KBG91" s="24"/>
      <c r="KBH91" s="24"/>
      <c r="KBI91" s="24"/>
      <c r="KBJ91" s="24"/>
      <c r="KBK91" s="24"/>
      <c r="KBL91" s="24"/>
      <c r="KBM91" s="24"/>
      <c r="KBN91" s="24"/>
      <c r="KBO91" s="24"/>
      <c r="KBP91" s="24"/>
      <c r="KBQ91" s="24"/>
      <c r="KBR91" s="24"/>
      <c r="KBS91" s="24"/>
      <c r="KBT91" s="24"/>
      <c r="KBU91" s="24"/>
      <c r="KBV91" s="24"/>
      <c r="KBW91" s="24"/>
      <c r="KBX91" s="24"/>
      <c r="KBY91" s="24"/>
      <c r="KBZ91" s="24"/>
      <c r="KCA91" s="24"/>
      <c r="KCB91" s="24"/>
      <c r="KCC91" s="24"/>
      <c r="KCD91" s="24"/>
      <c r="KCE91" s="24"/>
      <c r="KCF91" s="24"/>
      <c r="KCG91" s="24"/>
      <c r="KCH91" s="24"/>
      <c r="KCI91" s="24"/>
      <c r="KCJ91" s="24"/>
      <c r="KCK91" s="24"/>
      <c r="KCL91" s="24"/>
      <c r="KCM91" s="24"/>
      <c r="KCN91" s="24"/>
      <c r="KCO91" s="24"/>
      <c r="KCP91" s="24"/>
      <c r="KCQ91" s="24"/>
      <c r="KCR91" s="24"/>
      <c r="KCS91" s="24"/>
      <c r="KCT91" s="24"/>
      <c r="KCU91" s="24"/>
      <c r="KCV91" s="24"/>
      <c r="KCW91" s="24"/>
      <c r="KCX91" s="24"/>
      <c r="KCY91" s="24"/>
      <c r="KCZ91" s="24"/>
      <c r="KDA91" s="24"/>
      <c r="KDB91" s="24"/>
      <c r="KDC91" s="24"/>
      <c r="KDD91" s="24"/>
      <c r="KDE91" s="24"/>
      <c r="KDF91" s="24"/>
      <c r="KDG91" s="24"/>
      <c r="KDH91" s="24"/>
      <c r="KDI91" s="24"/>
      <c r="KDJ91" s="24"/>
      <c r="KDK91" s="24"/>
      <c r="KDL91" s="24"/>
      <c r="KDM91" s="24"/>
      <c r="KDN91" s="24"/>
      <c r="KDO91" s="24"/>
      <c r="KDP91" s="24"/>
      <c r="KDQ91" s="24"/>
      <c r="KDR91" s="24"/>
      <c r="KDS91" s="24"/>
      <c r="KDT91" s="24"/>
      <c r="KDU91" s="24"/>
      <c r="KDV91" s="24"/>
      <c r="KDW91" s="24"/>
      <c r="KDX91" s="24"/>
      <c r="KDY91" s="24"/>
      <c r="KDZ91" s="24"/>
      <c r="KEA91" s="24"/>
      <c r="KEB91" s="24"/>
      <c r="KEC91" s="24"/>
      <c r="KED91" s="24"/>
      <c r="KEE91" s="24"/>
      <c r="KEF91" s="24"/>
      <c r="KEG91" s="24"/>
      <c r="KEH91" s="24"/>
      <c r="KEI91" s="24"/>
      <c r="KEJ91" s="24"/>
      <c r="KEK91" s="24"/>
      <c r="KEL91" s="24"/>
      <c r="KEM91" s="24"/>
      <c r="KEN91" s="24"/>
      <c r="KEO91" s="24"/>
      <c r="KEP91" s="24"/>
      <c r="KEQ91" s="24"/>
      <c r="KER91" s="24"/>
      <c r="KES91" s="24"/>
      <c r="KET91" s="24"/>
      <c r="KEU91" s="24"/>
      <c r="KEV91" s="24"/>
      <c r="KEW91" s="24"/>
      <c r="KEX91" s="24"/>
      <c r="KEY91" s="24"/>
      <c r="KEZ91" s="24"/>
      <c r="KFA91" s="24"/>
      <c r="KFB91" s="24"/>
      <c r="KFC91" s="24"/>
      <c r="KFD91" s="24"/>
      <c r="KFE91" s="24"/>
      <c r="KFF91" s="24"/>
      <c r="KFG91" s="24"/>
      <c r="KFH91" s="24"/>
      <c r="KFI91" s="24"/>
      <c r="KFJ91" s="24"/>
      <c r="KFK91" s="24"/>
      <c r="KFL91" s="24"/>
      <c r="KFM91" s="24"/>
      <c r="KFN91" s="24"/>
      <c r="KFO91" s="24"/>
      <c r="KFP91" s="24"/>
      <c r="KFQ91" s="24"/>
      <c r="KFR91" s="24"/>
      <c r="KFS91" s="24"/>
      <c r="KFT91" s="24"/>
      <c r="KFU91" s="24"/>
      <c r="KFV91" s="24"/>
      <c r="KFW91" s="24"/>
      <c r="KFX91" s="24"/>
      <c r="KFY91" s="24"/>
      <c r="KFZ91" s="24"/>
      <c r="KGA91" s="24"/>
      <c r="KGB91" s="24"/>
      <c r="KGC91" s="24"/>
      <c r="KGD91" s="24"/>
      <c r="KGE91" s="24"/>
      <c r="KGF91" s="24"/>
      <c r="KGG91" s="24"/>
      <c r="KGH91" s="24"/>
      <c r="KGI91" s="24"/>
      <c r="KGJ91" s="24"/>
      <c r="KGK91" s="24"/>
      <c r="KGL91" s="24"/>
      <c r="KGM91" s="24"/>
      <c r="KGN91" s="24"/>
      <c r="KGO91" s="24"/>
      <c r="KGP91" s="24"/>
      <c r="KGQ91" s="24"/>
      <c r="KGR91" s="24"/>
      <c r="KGS91" s="24"/>
      <c r="KGT91" s="24"/>
      <c r="KGU91" s="24"/>
      <c r="KGV91" s="24"/>
      <c r="KGW91" s="24"/>
      <c r="KGX91" s="24"/>
      <c r="KGY91" s="24"/>
      <c r="KGZ91" s="24"/>
      <c r="KHA91" s="24"/>
      <c r="KHB91" s="24"/>
      <c r="KHC91" s="24"/>
      <c r="KHD91" s="24"/>
      <c r="KHE91" s="24"/>
      <c r="KHF91" s="24"/>
      <c r="KHG91" s="24"/>
      <c r="KHH91" s="24"/>
      <c r="KHI91" s="24"/>
      <c r="KHJ91" s="24"/>
      <c r="KHK91" s="24"/>
      <c r="KHL91" s="24"/>
      <c r="KHM91" s="24"/>
      <c r="KHN91" s="24"/>
      <c r="KHO91" s="24"/>
      <c r="KHP91" s="24"/>
      <c r="KHQ91" s="24"/>
      <c r="KHR91" s="24"/>
      <c r="KHS91" s="24"/>
      <c r="KHT91" s="24"/>
      <c r="KHU91" s="24"/>
      <c r="KHV91" s="24"/>
      <c r="KHW91" s="24"/>
      <c r="KHX91" s="24"/>
      <c r="KHY91" s="24"/>
      <c r="KHZ91" s="24"/>
      <c r="KIA91" s="24"/>
      <c r="KIB91" s="24"/>
      <c r="KIC91" s="24"/>
      <c r="KID91" s="24"/>
      <c r="KIE91" s="24"/>
      <c r="KIF91" s="24"/>
      <c r="KIG91" s="24"/>
      <c r="KIH91" s="24"/>
      <c r="KII91" s="24"/>
      <c r="KIJ91" s="24"/>
      <c r="KIK91" s="24"/>
      <c r="KIL91" s="24"/>
      <c r="KIM91" s="24"/>
      <c r="KIN91" s="24"/>
      <c r="KIO91" s="24"/>
      <c r="KIP91" s="24"/>
      <c r="KIQ91" s="24"/>
      <c r="KIR91" s="24"/>
      <c r="KIS91" s="24"/>
      <c r="KIT91" s="24"/>
      <c r="KIU91" s="24"/>
      <c r="KIV91" s="24"/>
      <c r="KIW91" s="24"/>
      <c r="KIX91" s="24"/>
      <c r="KIY91" s="24"/>
      <c r="KIZ91" s="24"/>
      <c r="KJA91" s="24"/>
      <c r="KJB91" s="24"/>
      <c r="KJC91" s="24"/>
      <c r="KJD91" s="24"/>
      <c r="KJE91" s="24"/>
      <c r="KJF91" s="24"/>
      <c r="KJG91" s="24"/>
      <c r="KJH91" s="24"/>
      <c r="KJI91" s="24"/>
      <c r="KJJ91" s="24"/>
      <c r="KJK91" s="24"/>
      <c r="KJL91" s="24"/>
      <c r="KJM91" s="24"/>
      <c r="KJN91" s="24"/>
      <c r="KJO91" s="24"/>
      <c r="KJP91" s="24"/>
      <c r="KJQ91" s="24"/>
      <c r="KJR91" s="24"/>
      <c r="KJS91" s="24"/>
      <c r="KJT91" s="24"/>
      <c r="KJU91" s="24"/>
      <c r="KJV91" s="24"/>
      <c r="KJW91" s="24"/>
      <c r="KJX91" s="24"/>
      <c r="KJY91" s="24"/>
      <c r="KJZ91" s="24"/>
      <c r="KKA91" s="24"/>
      <c r="KKB91" s="24"/>
      <c r="KKC91" s="24"/>
      <c r="KKD91" s="24"/>
      <c r="KKE91" s="24"/>
      <c r="KKF91" s="24"/>
      <c r="KKG91" s="24"/>
      <c r="KKH91" s="24"/>
      <c r="KKI91" s="24"/>
      <c r="KKJ91" s="24"/>
      <c r="KKK91" s="24"/>
      <c r="KKL91" s="24"/>
      <c r="KKM91" s="24"/>
      <c r="KKN91" s="24"/>
      <c r="KKO91" s="24"/>
      <c r="KKP91" s="24"/>
      <c r="KKQ91" s="24"/>
      <c r="KKR91" s="24"/>
      <c r="KKS91" s="24"/>
      <c r="KKT91" s="24"/>
      <c r="KKU91" s="24"/>
      <c r="KKV91" s="24"/>
      <c r="KKW91" s="24"/>
      <c r="KKX91" s="24"/>
      <c r="KKY91" s="24"/>
      <c r="KKZ91" s="24"/>
      <c r="KLA91" s="24"/>
      <c r="KLB91" s="24"/>
      <c r="KLC91" s="24"/>
      <c r="KLD91" s="24"/>
      <c r="KLE91" s="24"/>
      <c r="KLF91" s="24"/>
      <c r="KLG91" s="24"/>
      <c r="KLH91" s="24"/>
      <c r="KLI91" s="24"/>
      <c r="KLJ91" s="24"/>
      <c r="KLK91" s="24"/>
      <c r="KLL91" s="24"/>
      <c r="KLM91" s="24"/>
      <c r="KLN91" s="24"/>
      <c r="KLO91" s="24"/>
      <c r="KLP91" s="24"/>
      <c r="KLQ91" s="24"/>
      <c r="KLR91" s="24"/>
      <c r="KLS91" s="24"/>
      <c r="KLT91" s="24"/>
      <c r="KLU91" s="24"/>
      <c r="KLV91" s="24"/>
      <c r="KLW91" s="24"/>
      <c r="KLX91" s="24"/>
      <c r="KLY91" s="24"/>
      <c r="KLZ91" s="24"/>
      <c r="KMA91" s="24"/>
      <c r="KMB91" s="24"/>
      <c r="KMC91" s="24"/>
      <c r="KMD91" s="24"/>
      <c r="KME91" s="24"/>
      <c r="KMF91" s="24"/>
      <c r="KMG91" s="24"/>
      <c r="KMH91" s="24"/>
      <c r="KMI91" s="24"/>
      <c r="KMJ91" s="24"/>
      <c r="KMK91" s="24"/>
      <c r="KML91" s="24"/>
      <c r="KMM91" s="24"/>
      <c r="KMN91" s="24"/>
      <c r="KMO91" s="24"/>
      <c r="KMP91" s="24"/>
      <c r="KMQ91" s="24"/>
      <c r="KMR91" s="24"/>
      <c r="KMS91" s="24"/>
      <c r="KMT91" s="24"/>
      <c r="KMU91" s="24"/>
      <c r="KMV91" s="24"/>
      <c r="KMW91" s="24"/>
      <c r="KMX91" s="24"/>
      <c r="KMY91" s="24"/>
      <c r="KMZ91" s="24"/>
      <c r="KNA91" s="24"/>
      <c r="KNB91" s="24"/>
      <c r="KNC91" s="24"/>
      <c r="KND91" s="24"/>
      <c r="KNE91" s="24"/>
      <c r="KNF91" s="24"/>
      <c r="KNG91" s="24"/>
      <c r="KNH91" s="24"/>
      <c r="KNI91" s="24"/>
      <c r="KNJ91" s="24"/>
      <c r="KNK91" s="24"/>
      <c r="KNL91" s="24"/>
      <c r="KNM91" s="24"/>
      <c r="KNN91" s="24"/>
      <c r="KNO91" s="24"/>
      <c r="KNP91" s="24"/>
      <c r="KNQ91" s="24"/>
      <c r="KNR91" s="24"/>
      <c r="KNS91" s="24"/>
      <c r="KNT91" s="24"/>
      <c r="KNU91" s="24"/>
      <c r="KNV91" s="24"/>
      <c r="KNW91" s="24"/>
      <c r="KNX91" s="24"/>
      <c r="KNY91" s="24"/>
      <c r="KNZ91" s="24"/>
      <c r="KOA91" s="24"/>
      <c r="KOB91" s="24"/>
      <c r="KOC91" s="24"/>
      <c r="KOD91" s="24"/>
      <c r="KOE91" s="24"/>
      <c r="KOF91" s="24"/>
      <c r="KOG91" s="24"/>
      <c r="KOH91" s="24"/>
      <c r="KOI91" s="24"/>
      <c r="KOJ91" s="24"/>
      <c r="KOK91" s="24"/>
      <c r="KOL91" s="24"/>
      <c r="KOM91" s="24"/>
      <c r="KON91" s="24"/>
      <c r="KOO91" s="24"/>
      <c r="KOP91" s="24"/>
      <c r="KOQ91" s="24"/>
      <c r="KOR91" s="24"/>
      <c r="KOS91" s="24"/>
      <c r="KOT91" s="24"/>
      <c r="KOU91" s="24"/>
      <c r="KOV91" s="24"/>
      <c r="KOW91" s="24"/>
      <c r="KOX91" s="24"/>
      <c r="KOY91" s="24"/>
      <c r="KOZ91" s="24"/>
      <c r="KPA91" s="24"/>
      <c r="KPB91" s="24"/>
      <c r="KPC91" s="24"/>
      <c r="KPD91" s="24"/>
      <c r="KPE91" s="24"/>
      <c r="KPF91" s="24"/>
      <c r="KPG91" s="24"/>
      <c r="KPH91" s="24"/>
      <c r="KPI91" s="24"/>
      <c r="KPJ91" s="24"/>
      <c r="KPK91" s="24"/>
      <c r="KPL91" s="24"/>
      <c r="KPM91" s="24"/>
      <c r="KPN91" s="24"/>
      <c r="KPO91" s="24"/>
      <c r="KPP91" s="24"/>
      <c r="KPQ91" s="24"/>
      <c r="KPR91" s="24"/>
      <c r="KPS91" s="24"/>
      <c r="KPT91" s="24"/>
      <c r="KPU91" s="24"/>
      <c r="KPV91" s="24"/>
      <c r="KPW91" s="24"/>
      <c r="KPX91" s="24"/>
      <c r="KPY91" s="24"/>
      <c r="KPZ91" s="24"/>
      <c r="KQA91" s="24"/>
      <c r="KQB91" s="24"/>
      <c r="KQC91" s="24"/>
      <c r="KQD91" s="24"/>
      <c r="KQE91" s="24"/>
      <c r="KQF91" s="24"/>
      <c r="KQG91" s="24"/>
      <c r="KQH91" s="24"/>
      <c r="KQI91" s="24"/>
      <c r="KQJ91" s="24"/>
      <c r="KQK91" s="24"/>
      <c r="KQL91" s="24"/>
      <c r="KQM91" s="24"/>
      <c r="KQN91" s="24"/>
      <c r="KQO91" s="24"/>
      <c r="KQP91" s="24"/>
      <c r="KQQ91" s="24"/>
      <c r="KQR91" s="24"/>
      <c r="KQS91" s="24"/>
      <c r="KQT91" s="24"/>
      <c r="KQU91" s="24"/>
      <c r="KQV91" s="24"/>
      <c r="KQW91" s="24"/>
      <c r="KQX91" s="24"/>
      <c r="KQY91" s="24"/>
      <c r="KQZ91" s="24"/>
      <c r="KRA91" s="24"/>
      <c r="KRB91" s="24"/>
      <c r="KRC91" s="24"/>
      <c r="KRD91" s="24"/>
      <c r="KRE91" s="24"/>
      <c r="KRF91" s="24"/>
      <c r="KRG91" s="24"/>
      <c r="KRH91" s="24"/>
      <c r="KRI91" s="24"/>
      <c r="KRJ91" s="24"/>
      <c r="KRK91" s="24"/>
      <c r="KRL91" s="24"/>
      <c r="KRM91" s="24"/>
      <c r="KRN91" s="24"/>
      <c r="KRO91" s="24"/>
      <c r="KRP91" s="24"/>
      <c r="KRQ91" s="24"/>
      <c r="KRR91" s="24"/>
      <c r="KRS91" s="24"/>
      <c r="KRT91" s="24"/>
      <c r="KRU91" s="24"/>
      <c r="KRV91" s="24"/>
      <c r="KRW91" s="24"/>
      <c r="KRX91" s="24"/>
      <c r="KRY91" s="24"/>
      <c r="KRZ91" s="24"/>
      <c r="KSA91" s="24"/>
      <c r="KSB91" s="24"/>
      <c r="KSC91" s="24"/>
      <c r="KSD91" s="24"/>
      <c r="KSE91" s="24"/>
      <c r="KSF91" s="24"/>
      <c r="KSG91" s="24"/>
      <c r="KSH91" s="24"/>
      <c r="KSI91" s="24"/>
      <c r="KSJ91" s="24"/>
      <c r="KSK91" s="24"/>
      <c r="KSL91" s="24"/>
      <c r="KSM91" s="24"/>
      <c r="KSN91" s="24"/>
      <c r="KSO91" s="24"/>
      <c r="KSP91" s="24"/>
      <c r="KSQ91" s="24"/>
      <c r="KSR91" s="24"/>
      <c r="KSS91" s="24"/>
      <c r="KST91" s="24"/>
      <c r="KSU91" s="24"/>
      <c r="KSV91" s="24"/>
      <c r="KSW91" s="24"/>
      <c r="KSX91" s="24"/>
      <c r="KSY91" s="24"/>
      <c r="KSZ91" s="24"/>
      <c r="KTA91" s="24"/>
      <c r="KTB91" s="24"/>
      <c r="KTC91" s="24"/>
      <c r="KTD91" s="24"/>
      <c r="KTE91" s="24"/>
      <c r="KTF91" s="24"/>
      <c r="KTG91" s="24"/>
      <c r="KTH91" s="24"/>
      <c r="KTI91" s="24"/>
      <c r="KTJ91" s="24"/>
      <c r="KTK91" s="24"/>
      <c r="KTL91" s="24"/>
      <c r="KTM91" s="24"/>
      <c r="KTN91" s="24"/>
      <c r="KTO91" s="24"/>
      <c r="KTP91" s="24"/>
      <c r="KTQ91" s="24"/>
      <c r="KTR91" s="24"/>
      <c r="KTS91" s="24"/>
      <c r="KTT91" s="24"/>
      <c r="KTU91" s="24"/>
      <c r="KTV91" s="24"/>
      <c r="KTW91" s="24"/>
      <c r="KTX91" s="24"/>
      <c r="KTY91" s="24"/>
      <c r="KTZ91" s="24"/>
      <c r="KUA91" s="24"/>
      <c r="KUB91" s="24"/>
      <c r="KUC91" s="24"/>
      <c r="KUD91" s="24"/>
      <c r="KUE91" s="24"/>
      <c r="KUF91" s="24"/>
      <c r="KUG91" s="24"/>
      <c r="KUH91" s="24"/>
      <c r="KUI91" s="24"/>
      <c r="KUJ91" s="24"/>
      <c r="KUK91" s="24"/>
      <c r="KUL91" s="24"/>
      <c r="KUM91" s="24"/>
      <c r="KUN91" s="24"/>
      <c r="KUO91" s="24"/>
      <c r="KUP91" s="24"/>
      <c r="KUQ91" s="24"/>
      <c r="KUR91" s="24"/>
      <c r="KUS91" s="24"/>
      <c r="KUT91" s="24"/>
      <c r="KUU91" s="24"/>
      <c r="KUV91" s="24"/>
      <c r="KUW91" s="24"/>
      <c r="KUX91" s="24"/>
      <c r="KUY91" s="24"/>
      <c r="KUZ91" s="24"/>
      <c r="KVA91" s="24"/>
      <c r="KVB91" s="24"/>
      <c r="KVC91" s="24"/>
      <c r="KVD91" s="24"/>
      <c r="KVE91" s="24"/>
      <c r="KVF91" s="24"/>
      <c r="KVG91" s="24"/>
      <c r="KVH91" s="24"/>
      <c r="KVI91" s="24"/>
      <c r="KVJ91" s="24"/>
      <c r="KVK91" s="24"/>
      <c r="KVL91" s="24"/>
      <c r="KVM91" s="24"/>
      <c r="KVN91" s="24"/>
      <c r="KVO91" s="24"/>
      <c r="KVP91" s="24"/>
      <c r="KVQ91" s="24"/>
      <c r="KVR91" s="24"/>
      <c r="KVS91" s="24"/>
      <c r="KVT91" s="24"/>
      <c r="KVU91" s="24"/>
      <c r="KVV91" s="24"/>
      <c r="KVW91" s="24"/>
      <c r="KVX91" s="24"/>
      <c r="KVY91" s="24"/>
      <c r="KVZ91" s="24"/>
      <c r="KWA91" s="24"/>
      <c r="KWB91" s="24"/>
      <c r="KWC91" s="24"/>
      <c r="KWD91" s="24"/>
      <c r="KWE91" s="24"/>
      <c r="KWF91" s="24"/>
      <c r="KWG91" s="24"/>
      <c r="KWH91" s="24"/>
      <c r="KWI91" s="24"/>
      <c r="KWJ91" s="24"/>
      <c r="KWK91" s="24"/>
      <c r="KWL91" s="24"/>
      <c r="KWM91" s="24"/>
      <c r="KWN91" s="24"/>
      <c r="KWO91" s="24"/>
      <c r="KWP91" s="24"/>
      <c r="KWQ91" s="24"/>
      <c r="KWR91" s="24"/>
      <c r="KWS91" s="24"/>
      <c r="KWT91" s="24"/>
      <c r="KWU91" s="24"/>
      <c r="KWV91" s="24"/>
      <c r="KWW91" s="24"/>
      <c r="KWX91" s="24"/>
      <c r="KWY91" s="24"/>
      <c r="KWZ91" s="24"/>
      <c r="KXA91" s="24"/>
      <c r="KXB91" s="24"/>
      <c r="KXC91" s="24"/>
      <c r="KXD91" s="24"/>
      <c r="KXE91" s="24"/>
      <c r="KXF91" s="24"/>
      <c r="KXG91" s="24"/>
      <c r="KXH91" s="24"/>
      <c r="KXI91" s="24"/>
      <c r="KXJ91" s="24"/>
      <c r="KXK91" s="24"/>
      <c r="KXL91" s="24"/>
      <c r="KXM91" s="24"/>
      <c r="KXN91" s="24"/>
      <c r="KXO91" s="24"/>
      <c r="KXP91" s="24"/>
      <c r="KXQ91" s="24"/>
      <c r="KXR91" s="24"/>
      <c r="KXS91" s="24"/>
      <c r="KXT91" s="24"/>
      <c r="KXU91" s="24"/>
      <c r="KXV91" s="24"/>
      <c r="KXW91" s="24"/>
      <c r="KXX91" s="24"/>
      <c r="KXY91" s="24"/>
      <c r="KXZ91" s="24"/>
      <c r="KYA91" s="24"/>
      <c r="KYB91" s="24"/>
      <c r="KYC91" s="24"/>
      <c r="KYD91" s="24"/>
      <c r="KYE91" s="24"/>
      <c r="KYF91" s="24"/>
      <c r="KYG91" s="24"/>
      <c r="KYH91" s="24"/>
      <c r="KYI91" s="24"/>
      <c r="KYJ91" s="24"/>
      <c r="KYK91" s="24"/>
      <c r="KYL91" s="24"/>
      <c r="KYM91" s="24"/>
      <c r="KYN91" s="24"/>
      <c r="KYO91" s="24"/>
      <c r="KYP91" s="24"/>
      <c r="KYQ91" s="24"/>
      <c r="KYR91" s="24"/>
      <c r="KYS91" s="24"/>
      <c r="KYT91" s="24"/>
      <c r="KYU91" s="24"/>
      <c r="KYV91" s="24"/>
      <c r="KYW91" s="24"/>
      <c r="KYX91" s="24"/>
      <c r="KYY91" s="24"/>
      <c r="KYZ91" s="24"/>
      <c r="KZA91" s="24"/>
      <c r="KZB91" s="24"/>
      <c r="KZC91" s="24"/>
      <c r="KZD91" s="24"/>
      <c r="KZE91" s="24"/>
      <c r="KZF91" s="24"/>
      <c r="KZG91" s="24"/>
      <c r="KZH91" s="24"/>
      <c r="KZI91" s="24"/>
      <c r="KZJ91" s="24"/>
      <c r="KZK91" s="24"/>
      <c r="KZL91" s="24"/>
      <c r="KZM91" s="24"/>
      <c r="KZN91" s="24"/>
      <c r="KZO91" s="24"/>
      <c r="KZP91" s="24"/>
      <c r="KZQ91" s="24"/>
      <c r="KZR91" s="24"/>
      <c r="KZS91" s="24"/>
      <c r="KZT91" s="24"/>
      <c r="KZU91" s="24"/>
      <c r="KZV91" s="24"/>
      <c r="KZW91" s="24"/>
      <c r="KZX91" s="24"/>
      <c r="KZY91" s="24"/>
      <c r="KZZ91" s="24"/>
      <c r="LAA91" s="24"/>
      <c r="LAB91" s="24"/>
      <c r="LAC91" s="24"/>
      <c r="LAD91" s="24"/>
      <c r="LAE91" s="24"/>
      <c r="LAF91" s="24"/>
      <c r="LAG91" s="24"/>
      <c r="LAH91" s="24"/>
      <c r="LAI91" s="24"/>
      <c r="LAJ91" s="24"/>
      <c r="LAK91" s="24"/>
      <c r="LAL91" s="24"/>
      <c r="LAM91" s="24"/>
      <c r="LAN91" s="24"/>
      <c r="LAO91" s="24"/>
      <c r="LAP91" s="24"/>
      <c r="LAQ91" s="24"/>
      <c r="LAR91" s="24"/>
      <c r="LAS91" s="24"/>
      <c r="LAT91" s="24"/>
      <c r="LAU91" s="24"/>
      <c r="LAV91" s="24"/>
      <c r="LAW91" s="24"/>
      <c r="LAX91" s="24"/>
      <c r="LAY91" s="24"/>
      <c r="LAZ91" s="24"/>
      <c r="LBA91" s="24"/>
      <c r="LBB91" s="24"/>
      <c r="LBC91" s="24"/>
      <c r="LBD91" s="24"/>
      <c r="LBE91" s="24"/>
      <c r="LBF91" s="24"/>
      <c r="LBG91" s="24"/>
      <c r="LBH91" s="24"/>
      <c r="LBI91" s="24"/>
      <c r="LBJ91" s="24"/>
      <c r="LBK91" s="24"/>
      <c r="LBL91" s="24"/>
      <c r="LBM91" s="24"/>
      <c r="LBN91" s="24"/>
      <c r="LBO91" s="24"/>
      <c r="LBP91" s="24"/>
      <c r="LBQ91" s="24"/>
      <c r="LBR91" s="24"/>
      <c r="LBS91" s="24"/>
      <c r="LBT91" s="24"/>
      <c r="LBU91" s="24"/>
      <c r="LBV91" s="24"/>
      <c r="LBW91" s="24"/>
      <c r="LBX91" s="24"/>
      <c r="LBY91" s="24"/>
      <c r="LBZ91" s="24"/>
      <c r="LCA91" s="24"/>
      <c r="LCB91" s="24"/>
      <c r="LCC91" s="24"/>
      <c r="LCD91" s="24"/>
      <c r="LCE91" s="24"/>
      <c r="LCF91" s="24"/>
      <c r="LCG91" s="24"/>
      <c r="LCH91" s="24"/>
      <c r="LCI91" s="24"/>
      <c r="LCJ91" s="24"/>
      <c r="LCK91" s="24"/>
      <c r="LCL91" s="24"/>
      <c r="LCM91" s="24"/>
      <c r="LCN91" s="24"/>
      <c r="LCO91" s="24"/>
      <c r="LCP91" s="24"/>
      <c r="LCQ91" s="24"/>
      <c r="LCR91" s="24"/>
      <c r="LCS91" s="24"/>
      <c r="LCT91" s="24"/>
      <c r="LCU91" s="24"/>
      <c r="LCV91" s="24"/>
      <c r="LCW91" s="24"/>
      <c r="LCX91" s="24"/>
      <c r="LCY91" s="24"/>
      <c r="LCZ91" s="24"/>
      <c r="LDA91" s="24"/>
      <c r="LDB91" s="24"/>
      <c r="LDC91" s="24"/>
      <c r="LDD91" s="24"/>
      <c r="LDE91" s="24"/>
      <c r="LDF91" s="24"/>
      <c r="LDG91" s="24"/>
      <c r="LDH91" s="24"/>
      <c r="LDI91" s="24"/>
      <c r="LDJ91" s="24"/>
      <c r="LDK91" s="24"/>
      <c r="LDL91" s="24"/>
      <c r="LDM91" s="24"/>
      <c r="LDN91" s="24"/>
      <c r="LDO91" s="24"/>
      <c r="LDP91" s="24"/>
      <c r="LDQ91" s="24"/>
      <c r="LDR91" s="24"/>
      <c r="LDS91" s="24"/>
      <c r="LDT91" s="24"/>
      <c r="LDU91" s="24"/>
      <c r="LDV91" s="24"/>
      <c r="LDW91" s="24"/>
      <c r="LDX91" s="24"/>
      <c r="LDY91" s="24"/>
      <c r="LDZ91" s="24"/>
      <c r="LEA91" s="24"/>
      <c r="LEB91" s="24"/>
      <c r="LEC91" s="24"/>
      <c r="LED91" s="24"/>
      <c r="LEE91" s="24"/>
      <c r="LEF91" s="24"/>
      <c r="LEG91" s="24"/>
      <c r="LEH91" s="24"/>
      <c r="LEI91" s="24"/>
      <c r="LEJ91" s="24"/>
      <c r="LEK91" s="24"/>
      <c r="LEL91" s="24"/>
      <c r="LEM91" s="24"/>
      <c r="LEN91" s="24"/>
      <c r="LEO91" s="24"/>
      <c r="LEP91" s="24"/>
      <c r="LEQ91" s="24"/>
      <c r="LER91" s="24"/>
      <c r="LES91" s="24"/>
      <c r="LET91" s="24"/>
      <c r="LEU91" s="24"/>
      <c r="LEV91" s="24"/>
      <c r="LEW91" s="24"/>
      <c r="LEX91" s="24"/>
      <c r="LEY91" s="24"/>
      <c r="LEZ91" s="24"/>
      <c r="LFA91" s="24"/>
      <c r="LFB91" s="24"/>
      <c r="LFC91" s="24"/>
      <c r="LFD91" s="24"/>
      <c r="LFE91" s="24"/>
      <c r="LFF91" s="24"/>
      <c r="LFG91" s="24"/>
      <c r="LFH91" s="24"/>
      <c r="LFI91" s="24"/>
      <c r="LFJ91" s="24"/>
      <c r="LFK91" s="24"/>
      <c r="LFL91" s="24"/>
      <c r="LFM91" s="24"/>
      <c r="LFN91" s="24"/>
      <c r="LFO91" s="24"/>
      <c r="LFP91" s="24"/>
      <c r="LFQ91" s="24"/>
      <c r="LFR91" s="24"/>
      <c r="LFS91" s="24"/>
      <c r="LFT91" s="24"/>
      <c r="LFU91" s="24"/>
      <c r="LFV91" s="24"/>
      <c r="LFW91" s="24"/>
      <c r="LFX91" s="24"/>
      <c r="LFY91" s="24"/>
      <c r="LFZ91" s="24"/>
      <c r="LGA91" s="24"/>
      <c r="LGB91" s="24"/>
      <c r="LGC91" s="24"/>
      <c r="LGD91" s="24"/>
      <c r="LGE91" s="24"/>
      <c r="LGF91" s="24"/>
      <c r="LGG91" s="24"/>
      <c r="LGH91" s="24"/>
      <c r="LGI91" s="24"/>
      <c r="LGJ91" s="24"/>
      <c r="LGK91" s="24"/>
      <c r="LGL91" s="24"/>
      <c r="LGM91" s="24"/>
      <c r="LGN91" s="24"/>
      <c r="LGO91" s="24"/>
      <c r="LGP91" s="24"/>
      <c r="LGQ91" s="24"/>
      <c r="LGR91" s="24"/>
      <c r="LGS91" s="24"/>
      <c r="LGT91" s="24"/>
      <c r="LGU91" s="24"/>
      <c r="LGV91" s="24"/>
      <c r="LGW91" s="24"/>
      <c r="LGX91" s="24"/>
      <c r="LGY91" s="24"/>
      <c r="LGZ91" s="24"/>
      <c r="LHA91" s="24"/>
      <c r="LHB91" s="24"/>
      <c r="LHC91" s="24"/>
      <c r="LHD91" s="24"/>
      <c r="LHE91" s="24"/>
      <c r="LHF91" s="24"/>
      <c r="LHG91" s="24"/>
      <c r="LHH91" s="24"/>
      <c r="LHI91" s="24"/>
      <c r="LHJ91" s="24"/>
      <c r="LHK91" s="24"/>
      <c r="LHL91" s="24"/>
      <c r="LHM91" s="24"/>
      <c r="LHN91" s="24"/>
      <c r="LHO91" s="24"/>
      <c r="LHP91" s="24"/>
      <c r="LHQ91" s="24"/>
      <c r="LHR91" s="24"/>
      <c r="LHS91" s="24"/>
      <c r="LHT91" s="24"/>
      <c r="LHU91" s="24"/>
      <c r="LHV91" s="24"/>
      <c r="LHW91" s="24"/>
      <c r="LHX91" s="24"/>
      <c r="LHY91" s="24"/>
      <c r="LHZ91" s="24"/>
      <c r="LIA91" s="24"/>
      <c r="LIB91" s="24"/>
      <c r="LIC91" s="24"/>
      <c r="LID91" s="24"/>
      <c r="LIE91" s="24"/>
      <c r="LIF91" s="24"/>
      <c r="LIG91" s="24"/>
      <c r="LIH91" s="24"/>
      <c r="LII91" s="24"/>
      <c r="LIJ91" s="24"/>
      <c r="LIK91" s="24"/>
      <c r="LIL91" s="24"/>
      <c r="LIM91" s="24"/>
      <c r="LIN91" s="24"/>
      <c r="LIO91" s="24"/>
      <c r="LIP91" s="24"/>
      <c r="LIQ91" s="24"/>
      <c r="LIR91" s="24"/>
      <c r="LIS91" s="24"/>
      <c r="LIT91" s="24"/>
      <c r="LIU91" s="24"/>
      <c r="LIV91" s="24"/>
      <c r="LIW91" s="24"/>
      <c r="LIX91" s="24"/>
      <c r="LIY91" s="24"/>
      <c r="LIZ91" s="24"/>
      <c r="LJA91" s="24"/>
      <c r="LJB91" s="24"/>
      <c r="LJC91" s="24"/>
      <c r="LJD91" s="24"/>
      <c r="LJE91" s="24"/>
      <c r="LJF91" s="24"/>
      <c r="LJG91" s="24"/>
      <c r="LJH91" s="24"/>
      <c r="LJI91" s="24"/>
      <c r="LJJ91" s="24"/>
      <c r="LJK91" s="24"/>
      <c r="LJL91" s="24"/>
      <c r="LJM91" s="24"/>
      <c r="LJN91" s="24"/>
      <c r="LJO91" s="24"/>
      <c r="LJP91" s="24"/>
      <c r="LJQ91" s="24"/>
      <c r="LJR91" s="24"/>
      <c r="LJS91" s="24"/>
      <c r="LJT91" s="24"/>
      <c r="LJU91" s="24"/>
      <c r="LJV91" s="24"/>
      <c r="LJW91" s="24"/>
      <c r="LJX91" s="24"/>
      <c r="LJY91" s="24"/>
      <c r="LJZ91" s="24"/>
      <c r="LKA91" s="24"/>
      <c r="LKB91" s="24"/>
      <c r="LKC91" s="24"/>
      <c r="LKD91" s="24"/>
      <c r="LKE91" s="24"/>
      <c r="LKF91" s="24"/>
      <c r="LKG91" s="24"/>
      <c r="LKH91" s="24"/>
      <c r="LKI91" s="24"/>
      <c r="LKJ91" s="24"/>
      <c r="LKK91" s="24"/>
      <c r="LKL91" s="24"/>
      <c r="LKM91" s="24"/>
      <c r="LKN91" s="24"/>
      <c r="LKO91" s="24"/>
      <c r="LKP91" s="24"/>
      <c r="LKQ91" s="24"/>
      <c r="LKR91" s="24"/>
      <c r="LKS91" s="24"/>
      <c r="LKT91" s="24"/>
      <c r="LKU91" s="24"/>
      <c r="LKV91" s="24"/>
      <c r="LKW91" s="24"/>
      <c r="LKX91" s="24"/>
      <c r="LKY91" s="24"/>
      <c r="LKZ91" s="24"/>
      <c r="LLA91" s="24"/>
      <c r="LLB91" s="24"/>
      <c r="LLC91" s="24"/>
      <c r="LLD91" s="24"/>
      <c r="LLE91" s="24"/>
      <c r="LLF91" s="24"/>
      <c r="LLG91" s="24"/>
      <c r="LLH91" s="24"/>
      <c r="LLI91" s="24"/>
      <c r="LLJ91" s="24"/>
      <c r="LLK91" s="24"/>
      <c r="LLL91" s="24"/>
      <c r="LLM91" s="24"/>
      <c r="LLN91" s="24"/>
      <c r="LLO91" s="24"/>
      <c r="LLP91" s="24"/>
      <c r="LLQ91" s="24"/>
      <c r="LLR91" s="24"/>
      <c r="LLS91" s="24"/>
      <c r="LLT91" s="24"/>
      <c r="LLU91" s="24"/>
      <c r="LLV91" s="24"/>
      <c r="LLW91" s="24"/>
      <c r="LLX91" s="24"/>
      <c r="LLY91" s="24"/>
      <c r="LLZ91" s="24"/>
      <c r="LMA91" s="24"/>
      <c r="LMB91" s="24"/>
      <c r="LMC91" s="24"/>
      <c r="LMD91" s="24"/>
      <c r="LME91" s="24"/>
      <c r="LMF91" s="24"/>
      <c r="LMG91" s="24"/>
      <c r="LMH91" s="24"/>
      <c r="LMI91" s="24"/>
      <c r="LMJ91" s="24"/>
      <c r="LMK91" s="24"/>
      <c r="LML91" s="24"/>
      <c r="LMM91" s="24"/>
      <c r="LMN91" s="24"/>
      <c r="LMO91" s="24"/>
      <c r="LMP91" s="24"/>
      <c r="LMQ91" s="24"/>
      <c r="LMR91" s="24"/>
      <c r="LMS91" s="24"/>
      <c r="LMT91" s="24"/>
      <c r="LMU91" s="24"/>
      <c r="LMV91" s="24"/>
      <c r="LMW91" s="24"/>
      <c r="LMX91" s="24"/>
      <c r="LMY91" s="24"/>
      <c r="LMZ91" s="24"/>
      <c r="LNA91" s="24"/>
      <c r="LNB91" s="24"/>
      <c r="LNC91" s="24"/>
      <c r="LND91" s="24"/>
      <c r="LNE91" s="24"/>
      <c r="LNF91" s="24"/>
      <c r="LNG91" s="24"/>
      <c r="LNH91" s="24"/>
      <c r="LNI91" s="24"/>
      <c r="LNJ91" s="24"/>
      <c r="LNK91" s="24"/>
      <c r="LNL91" s="24"/>
      <c r="LNM91" s="24"/>
      <c r="LNN91" s="24"/>
      <c r="LNO91" s="24"/>
      <c r="LNP91" s="24"/>
      <c r="LNQ91" s="24"/>
      <c r="LNR91" s="24"/>
      <c r="LNS91" s="24"/>
      <c r="LNT91" s="24"/>
      <c r="LNU91" s="24"/>
      <c r="LNV91" s="24"/>
      <c r="LNW91" s="24"/>
      <c r="LNX91" s="24"/>
      <c r="LNY91" s="24"/>
      <c r="LNZ91" s="24"/>
      <c r="LOA91" s="24"/>
      <c r="LOB91" s="24"/>
      <c r="LOC91" s="24"/>
      <c r="LOD91" s="24"/>
      <c r="LOE91" s="24"/>
      <c r="LOF91" s="24"/>
      <c r="LOG91" s="24"/>
      <c r="LOH91" s="24"/>
      <c r="LOI91" s="24"/>
      <c r="LOJ91" s="24"/>
      <c r="LOK91" s="24"/>
      <c r="LOL91" s="24"/>
      <c r="LOM91" s="24"/>
      <c r="LON91" s="24"/>
      <c r="LOO91" s="24"/>
      <c r="LOP91" s="24"/>
      <c r="LOQ91" s="24"/>
      <c r="LOR91" s="24"/>
      <c r="LOS91" s="24"/>
      <c r="LOT91" s="24"/>
      <c r="LOU91" s="24"/>
      <c r="LOV91" s="24"/>
      <c r="LOW91" s="24"/>
      <c r="LOX91" s="24"/>
      <c r="LOY91" s="24"/>
      <c r="LOZ91" s="24"/>
      <c r="LPA91" s="24"/>
      <c r="LPB91" s="24"/>
      <c r="LPC91" s="24"/>
      <c r="LPD91" s="24"/>
      <c r="LPE91" s="24"/>
      <c r="LPF91" s="24"/>
      <c r="LPG91" s="24"/>
      <c r="LPH91" s="24"/>
      <c r="LPI91" s="24"/>
      <c r="LPJ91" s="24"/>
      <c r="LPK91" s="24"/>
      <c r="LPL91" s="24"/>
      <c r="LPM91" s="24"/>
      <c r="LPN91" s="24"/>
      <c r="LPO91" s="24"/>
      <c r="LPP91" s="24"/>
      <c r="LPQ91" s="24"/>
      <c r="LPR91" s="24"/>
      <c r="LPS91" s="24"/>
      <c r="LPT91" s="24"/>
      <c r="LPU91" s="24"/>
      <c r="LPV91" s="24"/>
      <c r="LPW91" s="24"/>
      <c r="LPX91" s="24"/>
      <c r="LPY91" s="24"/>
      <c r="LPZ91" s="24"/>
      <c r="LQA91" s="24"/>
      <c r="LQB91" s="24"/>
      <c r="LQC91" s="24"/>
      <c r="LQD91" s="24"/>
      <c r="LQE91" s="24"/>
      <c r="LQF91" s="24"/>
      <c r="LQG91" s="24"/>
      <c r="LQH91" s="24"/>
      <c r="LQI91" s="24"/>
      <c r="LQJ91" s="24"/>
      <c r="LQK91" s="24"/>
      <c r="LQL91" s="24"/>
      <c r="LQM91" s="24"/>
      <c r="LQN91" s="24"/>
      <c r="LQO91" s="24"/>
      <c r="LQP91" s="24"/>
      <c r="LQQ91" s="24"/>
      <c r="LQR91" s="24"/>
      <c r="LQS91" s="24"/>
      <c r="LQT91" s="24"/>
      <c r="LQU91" s="24"/>
      <c r="LQV91" s="24"/>
      <c r="LQW91" s="24"/>
      <c r="LQX91" s="24"/>
      <c r="LQY91" s="24"/>
      <c r="LQZ91" s="24"/>
      <c r="LRA91" s="24"/>
      <c r="LRB91" s="24"/>
      <c r="LRC91" s="24"/>
      <c r="LRD91" s="24"/>
      <c r="LRE91" s="24"/>
      <c r="LRF91" s="24"/>
      <c r="LRG91" s="24"/>
      <c r="LRH91" s="24"/>
      <c r="LRI91" s="24"/>
      <c r="LRJ91" s="24"/>
      <c r="LRK91" s="24"/>
      <c r="LRL91" s="24"/>
      <c r="LRM91" s="24"/>
      <c r="LRN91" s="24"/>
      <c r="LRO91" s="24"/>
      <c r="LRP91" s="24"/>
      <c r="LRQ91" s="24"/>
      <c r="LRR91" s="24"/>
      <c r="LRS91" s="24"/>
      <c r="LRT91" s="24"/>
      <c r="LRU91" s="24"/>
      <c r="LRV91" s="24"/>
      <c r="LRW91" s="24"/>
      <c r="LRX91" s="24"/>
      <c r="LRY91" s="24"/>
      <c r="LRZ91" s="24"/>
      <c r="LSA91" s="24"/>
      <c r="LSB91" s="24"/>
      <c r="LSC91" s="24"/>
      <c r="LSD91" s="24"/>
      <c r="LSE91" s="24"/>
      <c r="LSF91" s="24"/>
      <c r="LSG91" s="24"/>
      <c r="LSH91" s="24"/>
      <c r="LSI91" s="24"/>
      <c r="LSJ91" s="24"/>
      <c r="LSK91" s="24"/>
      <c r="LSL91" s="24"/>
      <c r="LSM91" s="24"/>
      <c r="LSN91" s="24"/>
      <c r="LSO91" s="24"/>
      <c r="LSP91" s="24"/>
      <c r="LSQ91" s="24"/>
      <c r="LSR91" s="24"/>
      <c r="LSS91" s="24"/>
      <c r="LST91" s="24"/>
      <c r="LSU91" s="24"/>
      <c r="LSV91" s="24"/>
      <c r="LSW91" s="24"/>
      <c r="LSX91" s="24"/>
      <c r="LSY91" s="24"/>
      <c r="LSZ91" s="24"/>
      <c r="LTA91" s="24"/>
      <c r="LTB91" s="24"/>
      <c r="LTC91" s="24"/>
      <c r="LTD91" s="24"/>
      <c r="LTE91" s="24"/>
      <c r="LTF91" s="24"/>
      <c r="LTG91" s="24"/>
      <c r="LTH91" s="24"/>
      <c r="LTI91" s="24"/>
      <c r="LTJ91" s="24"/>
      <c r="LTK91" s="24"/>
      <c r="LTL91" s="24"/>
      <c r="LTM91" s="24"/>
      <c r="LTN91" s="24"/>
      <c r="LTO91" s="24"/>
      <c r="LTP91" s="24"/>
      <c r="LTQ91" s="24"/>
      <c r="LTR91" s="24"/>
      <c r="LTS91" s="24"/>
      <c r="LTT91" s="24"/>
      <c r="LTU91" s="24"/>
      <c r="LTV91" s="24"/>
      <c r="LTW91" s="24"/>
      <c r="LTX91" s="24"/>
      <c r="LTY91" s="24"/>
      <c r="LTZ91" s="24"/>
      <c r="LUA91" s="24"/>
      <c r="LUB91" s="24"/>
      <c r="LUC91" s="24"/>
      <c r="LUD91" s="24"/>
      <c r="LUE91" s="24"/>
      <c r="LUF91" s="24"/>
      <c r="LUG91" s="24"/>
      <c r="LUH91" s="24"/>
      <c r="LUI91" s="24"/>
      <c r="LUJ91" s="24"/>
      <c r="LUK91" s="24"/>
      <c r="LUL91" s="24"/>
      <c r="LUM91" s="24"/>
      <c r="LUN91" s="24"/>
      <c r="LUO91" s="24"/>
      <c r="LUP91" s="24"/>
      <c r="LUQ91" s="24"/>
      <c r="LUR91" s="24"/>
      <c r="LUS91" s="24"/>
      <c r="LUT91" s="24"/>
      <c r="LUU91" s="24"/>
      <c r="LUV91" s="24"/>
      <c r="LUW91" s="24"/>
      <c r="LUX91" s="24"/>
      <c r="LUY91" s="24"/>
      <c r="LUZ91" s="24"/>
      <c r="LVA91" s="24"/>
      <c r="LVB91" s="24"/>
      <c r="LVC91" s="24"/>
      <c r="LVD91" s="24"/>
      <c r="LVE91" s="24"/>
      <c r="LVF91" s="24"/>
      <c r="LVG91" s="24"/>
      <c r="LVH91" s="24"/>
      <c r="LVI91" s="24"/>
      <c r="LVJ91" s="24"/>
      <c r="LVK91" s="24"/>
      <c r="LVL91" s="24"/>
      <c r="LVM91" s="24"/>
      <c r="LVN91" s="24"/>
      <c r="LVO91" s="24"/>
      <c r="LVP91" s="24"/>
      <c r="LVQ91" s="24"/>
      <c r="LVR91" s="24"/>
      <c r="LVS91" s="24"/>
      <c r="LVT91" s="24"/>
      <c r="LVU91" s="24"/>
      <c r="LVV91" s="24"/>
      <c r="LVW91" s="24"/>
      <c r="LVX91" s="24"/>
      <c r="LVY91" s="24"/>
      <c r="LVZ91" s="24"/>
      <c r="LWA91" s="24"/>
      <c r="LWB91" s="24"/>
      <c r="LWC91" s="24"/>
      <c r="LWD91" s="24"/>
      <c r="LWE91" s="24"/>
      <c r="LWF91" s="24"/>
      <c r="LWG91" s="24"/>
      <c r="LWH91" s="24"/>
      <c r="LWI91" s="24"/>
      <c r="LWJ91" s="24"/>
      <c r="LWK91" s="24"/>
      <c r="LWL91" s="24"/>
      <c r="LWM91" s="24"/>
      <c r="LWN91" s="24"/>
      <c r="LWO91" s="24"/>
      <c r="LWP91" s="24"/>
      <c r="LWQ91" s="24"/>
      <c r="LWR91" s="24"/>
      <c r="LWS91" s="24"/>
      <c r="LWT91" s="24"/>
      <c r="LWU91" s="24"/>
      <c r="LWV91" s="24"/>
      <c r="LWW91" s="24"/>
      <c r="LWX91" s="24"/>
      <c r="LWY91" s="24"/>
      <c r="LWZ91" s="24"/>
      <c r="LXA91" s="24"/>
      <c r="LXB91" s="24"/>
      <c r="LXC91" s="24"/>
      <c r="LXD91" s="24"/>
      <c r="LXE91" s="24"/>
      <c r="LXF91" s="24"/>
      <c r="LXG91" s="24"/>
      <c r="LXH91" s="24"/>
      <c r="LXI91" s="24"/>
      <c r="LXJ91" s="24"/>
      <c r="LXK91" s="24"/>
      <c r="LXL91" s="24"/>
      <c r="LXM91" s="24"/>
      <c r="LXN91" s="24"/>
      <c r="LXO91" s="24"/>
      <c r="LXP91" s="24"/>
      <c r="LXQ91" s="24"/>
      <c r="LXR91" s="24"/>
      <c r="LXS91" s="24"/>
      <c r="LXT91" s="24"/>
      <c r="LXU91" s="24"/>
      <c r="LXV91" s="24"/>
      <c r="LXW91" s="24"/>
      <c r="LXX91" s="24"/>
      <c r="LXY91" s="24"/>
      <c r="LXZ91" s="24"/>
      <c r="LYA91" s="24"/>
      <c r="LYB91" s="24"/>
      <c r="LYC91" s="24"/>
      <c r="LYD91" s="24"/>
      <c r="LYE91" s="24"/>
      <c r="LYF91" s="24"/>
      <c r="LYG91" s="24"/>
      <c r="LYH91" s="24"/>
      <c r="LYI91" s="24"/>
      <c r="LYJ91" s="24"/>
      <c r="LYK91" s="24"/>
      <c r="LYL91" s="24"/>
      <c r="LYM91" s="24"/>
      <c r="LYN91" s="24"/>
      <c r="LYO91" s="24"/>
      <c r="LYP91" s="24"/>
      <c r="LYQ91" s="24"/>
      <c r="LYR91" s="24"/>
      <c r="LYS91" s="24"/>
      <c r="LYT91" s="24"/>
      <c r="LYU91" s="24"/>
      <c r="LYV91" s="24"/>
      <c r="LYW91" s="24"/>
      <c r="LYX91" s="24"/>
      <c r="LYY91" s="24"/>
      <c r="LYZ91" s="24"/>
      <c r="LZA91" s="24"/>
      <c r="LZB91" s="24"/>
      <c r="LZC91" s="24"/>
      <c r="LZD91" s="24"/>
      <c r="LZE91" s="24"/>
      <c r="LZF91" s="24"/>
      <c r="LZG91" s="24"/>
      <c r="LZH91" s="24"/>
      <c r="LZI91" s="24"/>
      <c r="LZJ91" s="24"/>
      <c r="LZK91" s="24"/>
      <c r="LZL91" s="24"/>
      <c r="LZM91" s="24"/>
      <c r="LZN91" s="24"/>
      <c r="LZO91" s="24"/>
      <c r="LZP91" s="24"/>
      <c r="LZQ91" s="24"/>
      <c r="LZR91" s="24"/>
      <c r="LZS91" s="24"/>
      <c r="LZT91" s="24"/>
      <c r="LZU91" s="24"/>
      <c r="LZV91" s="24"/>
      <c r="LZW91" s="24"/>
      <c r="LZX91" s="24"/>
      <c r="LZY91" s="24"/>
      <c r="LZZ91" s="24"/>
      <c r="MAA91" s="24"/>
      <c r="MAB91" s="24"/>
      <c r="MAC91" s="24"/>
      <c r="MAD91" s="24"/>
      <c r="MAE91" s="24"/>
      <c r="MAF91" s="24"/>
      <c r="MAG91" s="24"/>
      <c r="MAH91" s="24"/>
      <c r="MAI91" s="24"/>
      <c r="MAJ91" s="24"/>
      <c r="MAK91" s="24"/>
      <c r="MAL91" s="24"/>
      <c r="MAM91" s="24"/>
      <c r="MAN91" s="24"/>
      <c r="MAO91" s="24"/>
      <c r="MAP91" s="24"/>
      <c r="MAQ91" s="24"/>
      <c r="MAR91" s="24"/>
      <c r="MAS91" s="24"/>
      <c r="MAT91" s="24"/>
      <c r="MAU91" s="24"/>
      <c r="MAV91" s="24"/>
      <c r="MAW91" s="24"/>
      <c r="MAX91" s="24"/>
      <c r="MAY91" s="24"/>
      <c r="MAZ91" s="24"/>
      <c r="MBA91" s="24"/>
      <c r="MBB91" s="24"/>
      <c r="MBC91" s="24"/>
      <c r="MBD91" s="24"/>
      <c r="MBE91" s="24"/>
      <c r="MBF91" s="24"/>
      <c r="MBG91" s="24"/>
      <c r="MBH91" s="24"/>
      <c r="MBI91" s="24"/>
      <c r="MBJ91" s="24"/>
      <c r="MBK91" s="24"/>
      <c r="MBL91" s="24"/>
      <c r="MBM91" s="24"/>
      <c r="MBN91" s="24"/>
      <c r="MBO91" s="24"/>
      <c r="MBP91" s="24"/>
      <c r="MBQ91" s="24"/>
      <c r="MBR91" s="24"/>
      <c r="MBS91" s="24"/>
      <c r="MBT91" s="24"/>
      <c r="MBU91" s="24"/>
      <c r="MBV91" s="24"/>
      <c r="MBW91" s="24"/>
      <c r="MBX91" s="24"/>
      <c r="MBY91" s="24"/>
      <c r="MBZ91" s="24"/>
      <c r="MCA91" s="24"/>
      <c r="MCB91" s="24"/>
      <c r="MCC91" s="24"/>
      <c r="MCD91" s="24"/>
      <c r="MCE91" s="24"/>
      <c r="MCF91" s="24"/>
      <c r="MCG91" s="24"/>
      <c r="MCH91" s="24"/>
      <c r="MCI91" s="24"/>
      <c r="MCJ91" s="24"/>
      <c r="MCK91" s="24"/>
      <c r="MCL91" s="24"/>
      <c r="MCM91" s="24"/>
      <c r="MCN91" s="24"/>
      <c r="MCO91" s="24"/>
      <c r="MCP91" s="24"/>
      <c r="MCQ91" s="24"/>
      <c r="MCR91" s="24"/>
      <c r="MCS91" s="24"/>
      <c r="MCT91" s="24"/>
      <c r="MCU91" s="24"/>
      <c r="MCV91" s="24"/>
      <c r="MCW91" s="24"/>
      <c r="MCX91" s="24"/>
      <c r="MCY91" s="24"/>
      <c r="MCZ91" s="24"/>
      <c r="MDA91" s="24"/>
      <c r="MDB91" s="24"/>
      <c r="MDC91" s="24"/>
      <c r="MDD91" s="24"/>
      <c r="MDE91" s="24"/>
      <c r="MDF91" s="24"/>
      <c r="MDG91" s="24"/>
      <c r="MDH91" s="24"/>
      <c r="MDI91" s="24"/>
      <c r="MDJ91" s="24"/>
      <c r="MDK91" s="24"/>
      <c r="MDL91" s="24"/>
      <c r="MDM91" s="24"/>
      <c r="MDN91" s="24"/>
      <c r="MDO91" s="24"/>
      <c r="MDP91" s="24"/>
      <c r="MDQ91" s="24"/>
      <c r="MDR91" s="24"/>
      <c r="MDS91" s="24"/>
      <c r="MDT91" s="24"/>
      <c r="MDU91" s="24"/>
      <c r="MDV91" s="24"/>
      <c r="MDW91" s="24"/>
      <c r="MDX91" s="24"/>
      <c r="MDY91" s="24"/>
      <c r="MDZ91" s="24"/>
      <c r="MEA91" s="24"/>
      <c r="MEB91" s="24"/>
      <c r="MEC91" s="24"/>
      <c r="MED91" s="24"/>
      <c r="MEE91" s="24"/>
      <c r="MEF91" s="24"/>
      <c r="MEG91" s="24"/>
      <c r="MEH91" s="24"/>
      <c r="MEI91" s="24"/>
      <c r="MEJ91" s="24"/>
      <c r="MEK91" s="24"/>
      <c r="MEL91" s="24"/>
      <c r="MEM91" s="24"/>
      <c r="MEN91" s="24"/>
      <c r="MEO91" s="24"/>
      <c r="MEP91" s="24"/>
      <c r="MEQ91" s="24"/>
      <c r="MER91" s="24"/>
      <c r="MES91" s="24"/>
      <c r="MET91" s="24"/>
      <c r="MEU91" s="24"/>
      <c r="MEV91" s="24"/>
      <c r="MEW91" s="24"/>
      <c r="MEX91" s="24"/>
      <c r="MEY91" s="24"/>
      <c r="MEZ91" s="24"/>
      <c r="MFA91" s="24"/>
      <c r="MFB91" s="24"/>
      <c r="MFC91" s="24"/>
      <c r="MFD91" s="24"/>
      <c r="MFE91" s="24"/>
      <c r="MFF91" s="24"/>
      <c r="MFG91" s="24"/>
      <c r="MFH91" s="24"/>
      <c r="MFI91" s="24"/>
      <c r="MFJ91" s="24"/>
      <c r="MFK91" s="24"/>
      <c r="MFL91" s="24"/>
      <c r="MFM91" s="24"/>
      <c r="MFN91" s="24"/>
      <c r="MFO91" s="24"/>
      <c r="MFP91" s="24"/>
      <c r="MFQ91" s="24"/>
      <c r="MFR91" s="24"/>
      <c r="MFS91" s="24"/>
      <c r="MFT91" s="24"/>
      <c r="MFU91" s="24"/>
      <c r="MFV91" s="24"/>
      <c r="MFW91" s="24"/>
      <c r="MFX91" s="24"/>
      <c r="MFY91" s="24"/>
      <c r="MFZ91" s="24"/>
      <c r="MGA91" s="24"/>
      <c r="MGB91" s="24"/>
      <c r="MGC91" s="24"/>
      <c r="MGD91" s="24"/>
      <c r="MGE91" s="24"/>
      <c r="MGF91" s="24"/>
      <c r="MGG91" s="24"/>
      <c r="MGH91" s="24"/>
      <c r="MGI91" s="24"/>
      <c r="MGJ91" s="24"/>
      <c r="MGK91" s="24"/>
      <c r="MGL91" s="24"/>
      <c r="MGM91" s="24"/>
      <c r="MGN91" s="24"/>
      <c r="MGO91" s="24"/>
      <c r="MGP91" s="24"/>
      <c r="MGQ91" s="24"/>
      <c r="MGR91" s="24"/>
      <c r="MGS91" s="24"/>
      <c r="MGT91" s="24"/>
      <c r="MGU91" s="24"/>
      <c r="MGV91" s="24"/>
      <c r="MGW91" s="24"/>
      <c r="MGX91" s="24"/>
      <c r="MGY91" s="24"/>
      <c r="MGZ91" s="24"/>
      <c r="MHA91" s="24"/>
      <c r="MHB91" s="24"/>
      <c r="MHC91" s="24"/>
      <c r="MHD91" s="24"/>
      <c r="MHE91" s="24"/>
      <c r="MHF91" s="24"/>
      <c r="MHG91" s="24"/>
      <c r="MHH91" s="24"/>
      <c r="MHI91" s="24"/>
      <c r="MHJ91" s="24"/>
      <c r="MHK91" s="24"/>
      <c r="MHL91" s="24"/>
      <c r="MHM91" s="24"/>
      <c r="MHN91" s="24"/>
      <c r="MHO91" s="24"/>
      <c r="MHP91" s="24"/>
      <c r="MHQ91" s="24"/>
      <c r="MHR91" s="24"/>
      <c r="MHS91" s="24"/>
      <c r="MHT91" s="24"/>
      <c r="MHU91" s="24"/>
      <c r="MHV91" s="24"/>
      <c r="MHW91" s="24"/>
      <c r="MHX91" s="24"/>
      <c r="MHY91" s="24"/>
      <c r="MHZ91" s="24"/>
      <c r="MIA91" s="24"/>
      <c r="MIB91" s="24"/>
      <c r="MIC91" s="24"/>
      <c r="MID91" s="24"/>
      <c r="MIE91" s="24"/>
      <c r="MIF91" s="24"/>
      <c r="MIG91" s="24"/>
      <c r="MIH91" s="24"/>
      <c r="MII91" s="24"/>
      <c r="MIJ91" s="24"/>
      <c r="MIK91" s="24"/>
      <c r="MIL91" s="24"/>
      <c r="MIM91" s="24"/>
      <c r="MIN91" s="24"/>
      <c r="MIO91" s="24"/>
      <c r="MIP91" s="24"/>
      <c r="MIQ91" s="24"/>
      <c r="MIR91" s="24"/>
      <c r="MIS91" s="24"/>
      <c r="MIT91" s="24"/>
      <c r="MIU91" s="24"/>
      <c r="MIV91" s="24"/>
      <c r="MIW91" s="24"/>
      <c r="MIX91" s="24"/>
      <c r="MIY91" s="24"/>
      <c r="MIZ91" s="24"/>
      <c r="MJA91" s="24"/>
      <c r="MJB91" s="24"/>
      <c r="MJC91" s="24"/>
      <c r="MJD91" s="24"/>
      <c r="MJE91" s="24"/>
      <c r="MJF91" s="24"/>
      <c r="MJG91" s="24"/>
      <c r="MJH91" s="24"/>
      <c r="MJI91" s="24"/>
      <c r="MJJ91" s="24"/>
      <c r="MJK91" s="24"/>
      <c r="MJL91" s="24"/>
      <c r="MJM91" s="24"/>
      <c r="MJN91" s="24"/>
      <c r="MJO91" s="24"/>
      <c r="MJP91" s="24"/>
      <c r="MJQ91" s="24"/>
      <c r="MJR91" s="24"/>
      <c r="MJS91" s="24"/>
      <c r="MJT91" s="24"/>
      <c r="MJU91" s="24"/>
      <c r="MJV91" s="24"/>
      <c r="MJW91" s="24"/>
      <c r="MJX91" s="24"/>
      <c r="MJY91" s="24"/>
      <c r="MJZ91" s="24"/>
      <c r="MKA91" s="24"/>
      <c r="MKB91" s="24"/>
      <c r="MKC91" s="24"/>
      <c r="MKD91" s="24"/>
      <c r="MKE91" s="24"/>
      <c r="MKF91" s="24"/>
      <c r="MKG91" s="24"/>
      <c r="MKH91" s="24"/>
      <c r="MKI91" s="24"/>
      <c r="MKJ91" s="24"/>
      <c r="MKK91" s="24"/>
      <c r="MKL91" s="24"/>
      <c r="MKM91" s="24"/>
      <c r="MKN91" s="24"/>
      <c r="MKO91" s="24"/>
      <c r="MKP91" s="24"/>
      <c r="MKQ91" s="24"/>
      <c r="MKR91" s="24"/>
      <c r="MKS91" s="24"/>
      <c r="MKT91" s="24"/>
      <c r="MKU91" s="24"/>
      <c r="MKV91" s="24"/>
      <c r="MKW91" s="24"/>
      <c r="MKX91" s="24"/>
      <c r="MKY91" s="24"/>
      <c r="MKZ91" s="24"/>
      <c r="MLA91" s="24"/>
      <c r="MLB91" s="24"/>
      <c r="MLC91" s="24"/>
      <c r="MLD91" s="24"/>
      <c r="MLE91" s="24"/>
      <c r="MLF91" s="24"/>
      <c r="MLG91" s="24"/>
      <c r="MLH91" s="24"/>
      <c r="MLI91" s="24"/>
      <c r="MLJ91" s="24"/>
      <c r="MLK91" s="24"/>
      <c r="MLL91" s="24"/>
      <c r="MLM91" s="24"/>
      <c r="MLN91" s="24"/>
      <c r="MLO91" s="24"/>
      <c r="MLP91" s="24"/>
      <c r="MLQ91" s="24"/>
      <c r="MLR91" s="24"/>
      <c r="MLS91" s="24"/>
      <c r="MLT91" s="24"/>
      <c r="MLU91" s="24"/>
      <c r="MLV91" s="24"/>
      <c r="MLW91" s="24"/>
      <c r="MLX91" s="24"/>
      <c r="MLY91" s="24"/>
      <c r="MLZ91" s="24"/>
      <c r="MMA91" s="24"/>
      <c r="MMB91" s="24"/>
      <c r="MMC91" s="24"/>
      <c r="MMD91" s="24"/>
      <c r="MME91" s="24"/>
      <c r="MMF91" s="24"/>
      <c r="MMG91" s="24"/>
      <c r="MMH91" s="24"/>
      <c r="MMI91" s="24"/>
      <c r="MMJ91" s="24"/>
      <c r="MMK91" s="24"/>
      <c r="MML91" s="24"/>
      <c r="MMM91" s="24"/>
      <c r="MMN91" s="24"/>
      <c r="MMO91" s="24"/>
      <c r="MMP91" s="24"/>
      <c r="MMQ91" s="24"/>
      <c r="MMR91" s="24"/>
      <c r="MMS91" s="24"/>
      <c r="MMT91" s="24"/>
      <c r="MMU91" s="24"/>
      <c r="MMV91" s="24"/>
      <c r="MMW91" s="24"/>
      <c r="MMX91" s="24"/>
      <c r="MMY91" s="24"/>
      <c r="MMZ91" s="24"/>
      <c r="MNA91" s="24"/>
      <c r="MNB91" s="24"/>
      <c r="MNC91" s="24"/>
      <c r="MND91" s="24"/>
      <c r="MNE91" s="24"/>
      <c r="MNF91" s="24"/>
      <c r="MNG91" s="24"/>
      <c r="MNH91" s="24"/>
      <c r="MNI91" s="24"/>
      <c r="MNJ91" s="24"/>
      <c r="MNK91" s="24"/>
      <c r="MNL91" s="24"/>
      <c r="MNM91" s="24"/>
      <c r="MNN91" s="24"/>
      <c r="MNO91" s="24"/>
      <c r="MNP91" s="24"/>
      <c r="MNQ91" s="24"/>
      <c r="MNR91" s="24"/>
      <c r="MNS91" s="24"/>
      <c r="MNT91" s="24"/>
      <c r="MNU91" s="24"/>
      <c r="MNV91" s="24"/>
      <c r="MNW91" s="24"/>
      <c r="MNX91" s="24"/>
      <c r="MNY91" s="24"/>
      <c r="MNZ91" s="24"/>
      <c r="MOA91" s="24"/>
      <c r="MOB91" s="24"/>
      <c r="MOC91" s="24"/>
      <c r="MOD91" s="24"/>
      <c r="MOE91" s="24"/>
      <c r="MOF91" s="24"/>
      <c r="MOG91" s="24"/>
      <c r="MOH91" s="24"/>
      <c r="MOI91" s="24"/>
      <c r="MOJ91" s="24"/>
      <c r="MOK91" s="24"/>
      <c r="MOL91" s="24"/>
      <c r="MOM91" s="24"/>
      <c r="MON91" s="24"/>
      <c r="MOO91" s="24"/>
      <c r="MOP91" s="24"/>
      <c r="MOQ91" s="24"/>
      <c r="MOR91" s="24"/>
      <c r="MOS91" s="24"/>
      <c r="MOT91" s="24"/>
      <c r="MOU91" s="24"/>
      <c r="MOV91" s="24"/>
      <c r="MOW91" s="24"/>
      <c r="MOX91" s="24"/>
      <c r="MOY91" s="24"/>
      <c r="MOZ91" s="24"/>
      <c r="MPA91" s="24"/>
      <c r="MPB91" s="24"/>
      <c r="MPC91" s="24"/>
      <c r="MPD91" s="24"/>
      <c r="MPE91" s="24"/>
      <c r="MPF91" s="24"/>
      <c r="MPG91" s="24"/>
      <c r="MPH91" s="24"/>
      <c r="MPI91" s="24"/>
      <c r="MPJ91" s="24"/>
      <c r="MPK91" s="24"/>
      <c r="MPL91" s="24"/>
      <c r="MPM91" s="24"/>
      <c r="MPN91" s="24"/>
      <c r="MPO91" s="24"/>
      <c r="MPP91" s="24"/>
      <c r="MPQ91" s="24"/>
      <c r="MPR91" s="24"/>
      <c r="MPS91" s="24"/>
      <c r="MPT91" s="24"/>
      <c r="MPU91" s="24"/>
      <c r="MPV91" s="24"/>
      <c r="MPW91" s="24"/>
      <c r="MPX91" s="24"/>
      <c r="MPY91" s="24"/>
      <c r="MPZ91" s="24"/>
      <c r="MQA91" s="24"/>
      <c r="MQB91" s="24"/>
      <c r="MQC91" s="24"/>
      <c r="MQD91" s="24"/>
      <c r="MQE91" s="24"/>
      <c r="MQF91" s="24"/>
      <c r="MQG91" s="24"/>
      <c r="MQH91" s="24"/>
      <c r="MQI91" s="24"/>
      <c r="MQJ91" s="24"/>
      <c r="MQK91" s="24"/>
      <c r="MQL91" s="24"/>
      <c r="MQM91" s="24"/>
      <c r="MQN91" s="24"/>
      <c r="MQO91" s="24"/>
      <c r="MQP91" s="24"/>
      <c r="MQQ91" s="24"/>
      <c r="MQR91" s="24"/>
      <c r="MQS91" s="24"/>
      <c r="MQT91" s="24"/>
      <c r="MQU91" s="24"/>
      <c r="MQV91" s="24"/>
      <c r="MQW91" s="24"/>
      <c r="MQX91" s="24"/>
      <c r="MQY91" s="24"/>
      <c r="MQZ91" s="24"/>
      <c r="MRA91" s="24"/>
      <c r="MRB91" s="24"/>
      <c r="MRC91" s="24"/>
      <c r="MRD91" s="24"/>
      <c r="MRE91" s="24"/>
      <c r="MRF91" s="24"/>
      <c r="MRG91" s="24"/>
      <c r="MRH91" s="24"/>
      <c r="MRI91" s="24"/>
      <c r="MRJ91" s="24"/>
      <c r="MRK91" s="24"/>
      <c r="MRL91" s="24"/>
      <c r="MRM91" s="24"/>
      <c r="MRN91" s="24"/>
      <c r="MRO91" s="24"/>
      <c r="MRP91" s="24"/>
      <c r="MRQ91" s="24"/>
      <c r="MRR91" s="24"/>
      <c r="MRS91" s="24"/>
      <c r="MRT91" s="24"/>
      <c r="MRU91" s="24"/>
      <c r="MRV91" s="24"/>
      <c r="MRW91" s="24"/>
      <c r="MRX91" s="24"/>
      <c r="MRY91" s="24"/>
      <c r="MRZ91" s="24"/>
      <c r="MSA91" s="24"/>
      <c r="MSB91" s="24"/>
      <c r="MSC91" s="24"/>
      <c r="MSD91" s="24"/>
      <c r="MSE91" s="24"/>
      <c r="MSF91" s="24"/>
      <c r="MSG91" s="24"/>
      <c r="MSH91" s="24"/>
      <c r="MSI91" s="24"/>
      <c r="MSJ91" s="24"/>
      <c r="MSK91" s="24"/>
      <c r="MSL91" s="24"/>
      <c r="MSM91" s="24"/>
      <c r="MSN91" s="24"/>
      <c r="MSO91" s="24"/>
      <c r="MSP91" s="24"/>
      <c r="MSQ91" s="24"/>
      <c r="MSR91" s="24"/>
      <c r="MSS91" s="24"/>
      <c r="MST91" s="24"/>
      <c r="MSU91" s="24"/>
      <c r="MSV91" s="24"/>
      <c r="MSW91" s="24"/>
      <c r="MSX91" s="24"/>
      <c r="MSY91" s="24"/>
      <c r="MSZ91" s="24"/>
      <c r="MTA91" s="24"/>
      <c r="MTB91" s="24"/>
      <c r="MTC91" s="24"/>
      <c r="MTD91" s="24"/>
      <c r="MTE91" s="24"/>
      <c r="MTF91" s="24"/>
      <c r="MTG91" s="24"/>
      <c r="MTH91" s="24"/>
      <c r="MTI91" s="24"/>
      <c r="MTJ91" s="24"/>
      <c r="MTK91" s="24"/>
      <c r="MTL91" s="24"/>
      <c r="MTM91" s="24"/>
      <c r="MTN91" s="24"/>
      <c r="MTO91" s="24"/>
      <c r="MTP91" s="24"/>
      <c r="MTQ91" s="24"/>
      <c r="MTR91" s="24"/>
      <c r="MTS91" s="24"/>
      <c r="MTT91" s="24"/>
      <c r="MTU91" s="24"/>
      <c r="MTV91" s="24"/>
      <c r="MTW91" s="24"/>
      <c r="MTX91" s="24"/>
      <c r="MTY91" s="24"/>
      <c r="MTZ91" s="24"/>
      <c r="MUA91" s="24"/>
      <c r="MUB91" s="24"/>
      <c r="MUC91" s="24"/>
      <c r="MUD91" s="24"/>
      <c r="MUE91" s="24"/>
      <c r="MUF91" s="24"/>
      <c r="MUG91" s="24"/>
      <c r="MUH91" s="24"/>
      <c r="MUI91" s="24"/>
      <c r="MUJ91" s="24"/>
      <c r="MUK91" s="24"/>
      <c r="MUL91" s="24"/>
      <c r="MUM91" s="24"/>
      <c r="MUN91" s="24"/>
      <c r="MUO91" s="24"/>
      <c r="MUP91" s="24"/>
      <c r="MUQ91" s="24"/>
      <c r="MUR91" s="24"/>
      <c r="MUS91" s="24"/>
      <c r="MUT91" s="24"/>
      <c r="MUU91" s="24"/>
      <c r="MUV91" s="24"/>
      <c r="MUW91" s="24"/>
      <c r="MUX91" s="24"/>
      <c r="MUY91" s="24"/>
      <c r="MUZ91" s="24"/>
      <c r="MVA91" s="24"/>
      <c r="MVB91" s="24"/>
      <c r="MVC91" s="24"/>
      <c r="MVD91" s="24"/>
      <c r="MVE91" s="24"/>
      <c r="MVF91" s="24"/>
      <c r="MVG91" s="24"/>
      <c r="MVH91" s="24"/>
      <c r="MVI91" s="24"/>
      <c r="MVJ91" s="24"/>
      <c r="MVK91" s="24"/>
      <c r="MVL91" s="24"/>
      <c r="MVM91" s="24"/>
      <c r="MVN91" s="24"/>
      <c r="MVO91" s="24"/>
      <c r="MVP91" s="24"/>
      <c r="MVQ91" s="24"/>
      <c r="MVR91" s="24"/>
      <c r="MVS91" s="24"/>
      <c r="MVT91" s="24"/>
      <c r="MVU91" s="24"/>
      <c r="MVV91" s="24"/>
      <c r="MVW91" s="24"/>
      <c r="MVX91" s="24"/>
      <c r="MVY91" s="24"/>
      <c r="MVZ91" s="24"/>
      <c r="MWA91" s="24"/>
      <c r="MWB91" s="24"/>
      <c r="MWC91" s="24"/>
      <c r="MWD91" s="24"/>
      <c r="MWE91" s="24"/>
      <c r="MWF91" s="24"/>
      <c r="MWG91" s="24"/>
      <c r="MWH91" s="24"/>
      <c r="MWI91" s="24"/>
      <c r="MWJ91" s="24"/>
      <c r="MWK91" s="24"/>
      <c r="MWL91" s="24"/>
      <c r="MWM91" s="24"/>
      <c r="MWN91" s="24"/>
      <c r="MWO91" s="24"/>
      <c r="MWP91" s="24"/>
      <c r="MWQ91" s="24"/>
      <c r="MWR91" s="24"/>
      <c r="MWS91" s="24"/>
      <c r="MWT91" s="24"/>
      <c r="MWU91" s="24"/>
      <c r="MWV91" s="24"/>
      <c r="MWW91" s="24"/>
      <c r="MWX91" s="24"/>
      <c r="MWY91" s="24"/>
      <c r="MWZ91" s="24"/>
      <c r="MXA91" s="24"/>
      <c r="MXB91" s="24"/>
      <c r="MXC91" s="24"/>
      <c r="MXD91" s="24"/>
      <c r="MXE91" s="24"/>
      <c r="MXF91" s="24"/>
      <c r="MXG91" s="24"/>
      <c r="MXH91" s="24"/>
      <c r="MXI91" s="24"/>
      <c r="MXJ91" s="24"/>
      <c r="MXK91" s="24"/>
      <c r="MXL91" s="24"/>
      <c r="MXM91" s="24"/>
      <c r="MXN91" s="24"/>
      <c r="MXO91" s="24"/>
      <c r="MXP91" s="24"/>
      <c r="MXQ91" s="24"/>
      <c r="MXR91" s="24"/>
      <c r="MXS91" s="24"/>
      <c r="MXT91" s="24"/>
      <c r="MXU91" s="24"/>
      <c r="MXV91" s="24"/>
      <c r="MXW91" s="24"/>
      <c r="MXX91" s="24"/>
      <c r="MXY91" s="24"/>
      <c r="MXZ91" s="24"/>
      <c r="MYA91" s="24"/>
      <c r="MYB91" s="24"/>
      <c r="MYC91" s="24"/>
      <c r="MYD91" s="24"/>
      <c r="MYE91" s="24"/>
      <c r="MYF91" s="24"/>
      <c r="MYG91" s="24"/>
      <c r="MYH91" s="24"/>
      <c r="MYI91" s="24"/>
      <c r="MYJ91" s="24"/>
      <c r="MYK91" s="24"/>
      <c r="MYL91" s="24"/>
      <c r="MYM91" s="24"/>
      <c r="MYN91" s="24"/>
      <c r="MYO91" s="24"/>
      <c r="MYP91" s="24"/>
      <c r="MYQ91" s="24"/>
      <c r="MYR91" s="24"/>
      <c r="MYS91" s="24"/>
      <c r="MYT91" s="24"/>
      <c r="MYU91" s="24"/>
      <c r="MYV91" s="24"/>
      <c r="MYW91" s="24"/>
      <c r="MYX91" s="24"/>
      <c r="MYY91" s="24"/>
      <c r="MYZ91" s="24"/>
      <c r="MZA91" s="24"/>
      <c r="MZB91" s="24"/>
      <c r="MZC91" s="24"/>
      <c r="MZD91" s="24"/>
      <c r="MZE91" s="24"/>
      <c r="MZF91" s="24"/>
      <c r="MZG91" s="24"/>
      <c r="MZH91" s="24"/>
      <c r="MZI91" s="24"/>
      <c r="MZJ91" s="24"/>
      <c r="MZK91" s="24"/>
      <c r="MZL91" s="24"/>
      <c r="MZM91" s="24"/>
      <c r="MZN91" s="24"/>
      <c r="MZO91" s="24"/>
      <c r="MZP91" s="24"/>
      <c r="MZQ91" s="24"/>
      <c r="MZR91" s="24"/>
      <c r="MZS91" s="24"/>
      <c r="MZT91" s="24"/>
      <c r="MZU91" s="24"/>
      <c r="MZV91" s="24"/>
      <c r="MZW91" s="24"/>
      <c r="MZX91" s="24"/>
      <c r="MZY91" s="24"/>
      <c r="MZZ91" s="24"/>
      <c r="NAA91" s="24"/>
      <c r="NAB91" s="24"/>
      <c r="NAC91" s="24"/>
      <c r="NAD91" s="24"/>
      <c r="NAE91" s="24"/>
      <c r="NAF91" s="24"/>
      <c r="NAG91" s="24"/>
      <c r="NAH91" s="24"/>
      <c r="NAI91" s="24"/>
      <c r="NAJ91" s="24"/>
      <c r="NAK91" s="24"/>
      <c r="NAL91" s="24"/>
      <c r="NAM91" s="24"/>
      <c r="NAN91" s="24"/>
      <c r="NAO91" s="24"/>
      <c r="NAP91" s="24"/>
      <c r="NAQ91" s="24"/>
      <c r="NAR91" s="24"/>
      <c r="NAS91" s="24"/>
      <c r="NAT91" s="24"/>
      <c r="NAU91" s="24"/>
      <c r="NAV91" s="24"/>
      <c r="NAW91" s="24"/>
      <c r="NAX91" s="24"/>
      <c r="NAY91" s="24"/>
      <c r="NAZ91" s="24"/>
      <c r="NBA91" s="24"/>
      <c r="NBB91" s="24"/>
      <c r="NBC91" s="24"/>
      <c r="NBD91" s="24"/>
      <c r="NBE91" s="24"/>
      <c r="NBF91" s="24"/>
      <c r="NBG91" s="24"/>
      <c r="NBH91" s="24"/>
      <c r="NBI91" s="24"/>
      <c r="NBJ91" s="24"/>
      <c r="NBK91" s="24"/>
      <c r="NBL91" s="24"/>
      <c r="NBM91" s="24"/>
      <c r="NBN91" s="24"/>
      <c r="NBO91" s="24"/>
      <c r="NBP91" s="24"/>
      <c r="NBQ91" s="24"/>
      <c r="NBR91" s="24"/>
      <c r="NBS91" s="24"/>
      <c r="NBT91" s="24"/>
      <c r="NBU91" s="24"/>
      <c r="NBV91" s="24"/>
      <c r="NBW91" s="24"/>
      <c r="NBX91" s="24"/>
      <c r="NBY91" s="24"/>
      <c r="NBZ91" s="24"/>
      <c r="NCA91" s="24"/>
      <c r="NCB91" s="24"/>
      <c r="NCC91" s="24"/>
      <c r="NCD91" s="24"/>
      <c r="NCE91" s="24"/>
      <c r="NCF91" s="24"/>
      <c r="NCG91" s="24"/>
      <c r="NCH91" s="24"/>
      <c r="NCI91" s="24"/>
      <c r="NCJ91" s="24"/>
      <c r="NCK91" s="24"/>
      <c r="NCL91" s="24"/>
      <c r="NCM91" s="24"/>
      <c r="NCN91" s="24"/>
      <c r="NCO91" s="24"/>
      <c r="NCP91" s="24"/>
      <c r="NCQ91" s="24"/>
      <c r="NCR91" s="24"/>
      <c r="NCS91" s="24"/>
      <c r="NCT91" s="24"/>
      <c r="NCU91" s="24"/>
      <c r="NCV91" s="24"/>
      <c r="NCW91" s="24"/>
      <c r="NCX91" s="24"/>
      <c r="NCY91" s="24"/>
      <c r="NCZ91" s="24"/>
      <c r="NDA91" s="24"/>
      <c r="NDB91" s="24"/>
      <c r="NDC91" s="24"/>
      <c r="NDD91" s="24"/>
      <c r="NDE91" s="24"/>
      <c r="NDF91" s="24"/>
      <c r="NDG91" s="24"/>
      <c r="NDH91" s="24"/>
      <c r="NDI91" s="24"/>
      <c r="NDJ91" s="24"/>
      <c r="NDK91" s="24"/>
      <c r="NDL91" s="24"/>
      <c r="NDM91" s="24"/>
      <c r="NDN91" s="24"/>
      <c r="NDO91" s="24"/>
      <c r="NDP91" s="24"/>
      <c r="NDQ91" s="24"/>
      <c r="NDR91" s="24"/>
      <c r="NDS91" s="24"/>
      <c r="NDT91" s="24"/>
      <c r="NDU91" s="24"/>
      <c r="NDV91" s="24"/>
      <c r="NDW91" s="24"/>
      <c r="NDX91" s="24"/>
      <c r="NDY91" s="24"/>
      <c r="NDZ91" s="24"/>
      <c r="NEA91" s="24"/>
      <c r="NEB91" s="24"/>
      <c r="NEC91" s="24"/>
      <c r="NED91" s="24"/>
      <c r="NEE91" s="24"/>
      <c r="NEF91" s="24"/>
      <c r="NEG91" s="24"/>
      <c r="NEH91" s="24"/>
      <c r="NEI91" s="24"/>
      <c r="NEJ91" s="24"/>
      <c r="NEK91" s="24"/>
      <c r="NEL91" s="24"/>
      <c r="NEM91" s="24"/>
      <c r="NEN91" s="24"/>
      <c r="NEO91" s="24"/>
      <c r="NEP91" s="24"/>
      <c r="NEQ91" s="24"/>
      <c r="NER91" s="24"/>
      <c r="NES91" s="24"/>
      <c r="NET91" s="24"/>
      <c r="NEU91" s="24"/>
      <c r="NEV91" s="24"/>
      <c r="NEW91" s="24"/>
      <c r="NEX91" s="24"/>
      <c r="NEY91" s="24"/>
      <c r="NEZ91" s="24"/>
      <c r="NFA91" s="24"/>
      <c r="NFB91" s="24"/>
      <c r="NFC91" s="24"/>
      <c r="NFD91" s="24"/>
      <c r="NFE91" s="24"/>
      <c r="NFF91" s="24"/>
      <c r="NFG91" s="24"/>
      <c r="NFH91" s="24"/>
      <c r="NFI91" s="24"/>
      <c r="NFJ91" s="24"/>
      <c r="NFK91" s="24"/>
      <c r="NFL91" s="24"/>
      <c r="NFM91" s="24"/>
      <c r="NFN91" s="24"/>
      <c r="NFO91" s="24"/>
      <c r="NFP91" s="24"/>
      <c r="NFQ91" s="24"/>
      <c r="NFR91" s="24"/>
      <c r="NFS91" s="24"/>
      <c r="NFT91" s="24"/>
      <c r="NFU91" s="24"/>
      <c r="NFV91" s="24"/>
      <c r="NFW91" s="24"/>
      <c r="NFX91" s="24"/>
      <c r="NFY91" s="24"/>
      <c r="NFZ91" s="24"/>
      <c r="NGA91" s="24"/>
      <c r="NGB91" s="24"/>
      <c r="NGC91" s="24"/>
      <c r="NGD91" s="24"/>
      <c r="NGE91" s="24"/>
      <c r="NGF91" s="24"/>
      <c r="NGG91" s="24"/>
      <c r="NGH91" s="24"/>
      <c r="NGI91" s="24"/>
      <c r="NGJ91" s="24"/>
      <c r="NGK91" s="24"/>
      <c r="NGL91" s="24"/>
      <c r="NGM91" s="24"/>
      <c r="NGN91" s="24"/>
      <c r="NGO91" s="24"/>
      <c r="NGP91" s="24"/>
      <c r="NGQ91" s="24"/>
      <c r="NGR91" s="24"/>
      <c r="NGS91" s="24"/>
      <c r="NGT91" s="24"/>
      <c r="NGU91" s="24"/>
      <c r="NGV91" s="24"/>
      <c r="NGW91" s="24"/>
      <c r="NGX91" s="24"/>
      <c r="NGY91" s="24"/>
      <c r="NGZ91" s="24"/>
      <c r="NHA91" s="24"/>
      <c r="NHB91" s="24"/>
      <c r="NHC91" s="24"/>
      <c r="NHD91" s="24"/>
      <c r="NHE91" s="24"/>
      <c r="NHF91" s="24"/>
      <c r="NHG91" s="24"/>
      <c r="NHH91" s="24"/>
      <c r="NHI91" s="24"/>
      <c r="NHJ91" s="24"/>
      <c r="NHK91" s="24"/>
      <c r="NHL91" s="24"/>
      <c r="NHM91" s="24"/>
      <c r="NHN91" s="24"/>
      <c r="NHO91" s="24"/>
      <c r="NHP91" s="24"/>
      <c r="NHQ91" s="24"/>
      <c r="NHR91" s="24"/>
      <c r="NHS91" s="24"/>
      <c r="NHT91" s="24"/>
      <c r="NHU91" s="24"/>
      <c r="NHV91" s="24"/>
      <c r="NHW91" s="24"/>
      <c r="NHX91" s="24"/>
      <c r="NHY91" s="24"/>
      <c r="NHZ91" s="24"/>
      <c r="NIA91" s="24"/>
      <c r="NIB91" s="24"/>
      <c r="NIC91" s="24"/>
      <c r="NID91" s="24"/>
      <c r="NIE91" s="24"/>
      <c r="NIF91" s="24"/>
      <c r="NIG91" s="24"/>
      <c r="NIH91" s="24"/>
      <c r="NII91" s="24"/>
      <c r="NIJ91" s="24"/>
      <c r="NIK91" s="24"/>
      <c r="NIL91" s="24"/>
      <c r="NIM91" s="24"/>
      <c r="NIN91" s="24"/>
      <c r="NIO91" s="24"/>
      <c r="NIP91" s="24"/>
      <c r="NIQ91" s="24"/>
      <c r="NIR91" s="24"/>
      <c r="NIS91" s="24"/>
      <c r="NIT91" s="24"/>
      <c r="NIU91" s="24"/>
      <c r="NIV91" s="24"/>
      <c r="NIW91" s="24"/>
      <c r="NIX91" s="24"/>
      <c r="NIY91" s="24"/>
      <c r="NIZ91" s="24"/>
      <c r="NJA91" s="24"/>
      <c r="NJB91" s="24"/>
      <c r="NJC91" s="24"/>
      <c r="NJD91" s="24"/>
      <c r="NJE91" s="24"/>
      <c r="NJF91" s="24"/>
      <c r="NJG91" s="24"/>
      <c r="NJH91" s="24"/>
      <c r="NJI91" s="24"/>
      <c r="NJJ91" s="24"/>
      <c r="NJK91" s="24"/>
      <c r="NJL91" s="24"/>
      <c r="NJM91" s="24"/>
      <c r="NJN91" s="24"/>
      <c r="NJO91" s="24"/>
      <c r="NJP91" s="24"/>
      <c r="NJQ91" s="24"/>
      <c r="NJR91" s="24"/>
      <c r="NJS91" s="24"/>
      <c r="NJT91" s="24"/>
      <c r="NJU91" s="24"/>
      <c r="NJV91" s="24"/>
      <c r="NJW91" s="24"/>
      <c r="NJX91" s="24"/>
      <c r="NJY91" s="24"/>
      <c r="NJZ91" s="24"/>
      <c r="NKA91" s="24"/>
      <c r="NKB91" s="24"/>
      <c r="NKC91" s="24"/>
      <c r="NKD91" s="24"/>
      <c r="NKE91" s="24"/>
      <c r="NKF91" s="24"/>
      <c r="NKG91" s="24"/>
      <c r="NKH91" s="24"/>
      <c r="NKI91" s="24"/>
      <c r="NKJ91" s="24"/>
      <c r="NKK91" s="24"/>
      <c r="NKL91" s="24"/>
      <c r="NKM91" s="24"/>
      <c r="NKN91" s="24"/>
      <c r="NKO91" s="24"/>
      <c r="NKP91" s="24"/>
      <c r="NKQ91" s="24"/>
      <c r="NKR91" s="24"/>
      <c r="NKS91" s="24"/>
      <c r="NKT91" s="24"/>
      <c r="NKU91" s="24"/>
      <c r="NKV91" s="24"/>
      <c r="NKW91" s="24"/>
      <c r="NKX91" s="24"/>
      <c r="NKY91" s="24"/>
      <c r="NKZ91" s="24"/>
      <c r="NLA91" s="24"/>
      <c r="NLB91" s="24"/>
      <c r="NLC91" s="24"/>
      <c r="NLD91" s="24"/>
      <c r="NLE91" s="24"/>
      <c r="NLF91" s="24"/>
      <c r="NLG91" s="24"/>
      <c r="NLH91" s="24"/>
      <c r="NLI91" s="24"/>
      <c r="NLJ91" s="24"/>
      <c r="NLK91" s="24"/>
      <c r="NLL91" s="24"/>
      <c r="NLM91" s="24"/>
      <c r="NLN91" s="24"/>
      <c r="NLO91" s="24"/>
      <c r="NLP91" s="24"/>
      <c r="NLQ91" s="24"/>
      <c r="NLR91" s="24"/>
      <c r="NLS91" s="24"/>
      <c r="NLT91" s="24"/>
      <c r="NLU91" s="24"/>
      <c r="NLV91" s="24"/>
      <c r="NLW91" s="24"/>
      <c r="NLX91" s="24"/>
      <c r="NLY91" s="24"/>
      <c r="NLZ91" s="24"/>
      <c r="NMA91" s="24"/>
      <c r="NMB91" s="24"/>
      <c r="NMC91" s="24"/>
      <c r="NMD91" s="24"/>
      <c r="NME91" s="24"/>
      <c r="NMF91" s="24"/>
      <c r="NMG91" s="24"/>
      <c r="NMH91" s="24"/>
      <c r="NMI91" s="24"/>
      <c r="NMJ91" s="24"/>
      <c r="NMK91" s="24"/>
      <c r="NML91" s="24"/>
      <c r="NMM91" s="24"/>
      <c r="NMN91" s="24"/>
      <c r="NMO91" s="24"/>
      <c r="NMP91" s="24"/>
      <c r="NMQ91" s="24"/>
      <c r="NMR91" s="24"/>
      <c r="NMS91" s="24"/>
      <c r="NMT91" s="24"/>
      <c r="NMU91" s="24"/>
      <c r="NMV91" s="24"/>
      <c r="NMW91" s="24"/>
      <c r="NMX91" s="24"/>
      <c r="NMY91" s="24"/>
      <c r="NMZ91" s="24"/>
      <c r="NNA91" s="24"/>
      <c r="NNB91" s="24"/>
      <c r="NNC91" s="24"/>
      <c r="NND91" s="24"/>
      <c r="NNE91" s="24"/>
      <c r="NNF91" s="24"/>
      <c r="NNG91" s="24"/>
      <c r="NNH91" s="24"/>
      <c r="NNI91" s="24"/>
      <c r="NNJ91" s="24"/>
      <c r="NNK91" s="24"/>
      <c r="NNL91" s="24"/>
      <c r="NNM91" s="24"/>
      <c r="NNN91" s="24"/>
      <c r="NNO91" s="24"/>
      <c r="NNP91" s="24"/>
      <c r="NNQ91" s="24"/>
      <c r="NNR91" s="24"/>
      <c r="NNS91" s="24"/>
      <c r="NNT91" s="24"/>
      <c r="NNU91" s="24"/>
      <c r="NNV91" s="24"/>
      <c r="NNW91" s="24"/>
      <c r="NNX91" s="24"/>
      <c r="NNY91" s="24"/>
      <c r="NNZ91" s="24"/>
      <c r="NOA91" s="24"/>
      <c r="NOB91" s="24"/>
      <c r="NOC91" s="24"/>
      <c r="NOD91" s="24"/>
      <c r="NOE91" s="24"/>
      <c r="NOF91" s="24"/>
      <c r="NOG91" s="24"/>
      <c r="NOH91" s="24"/>
      <c r="NOI91" s="24"/>
      <c r="NOJ91" s="24"/>
      <c r="NOK91" s="24"/>
      <c r="NOL91" s="24"/>
      <c r="NOM91" s="24"/>
      <c r="NON91" s="24"/>
      <c r="NOO91" s="24"/>
      <c r="NOP91" s="24"/>
      <c r="NOQ91" s="24"/>
      <c r="NOR91" s="24"/>
      <c r="NOS91" s="24"/>
      <c r="NOT91" s="24"/>
      <c r="NOU91" s="24"/>
      <c r="NOV91" s="24"/>
      <c r="NOW91" s="24"/>
      <c r="NOX91" s="24"/>
      <c r="NOY91" s="24"/>
      <c r="NOZ91" s="24"/>
      <c r="NPA91" s="24"/>
      <c r="NPB91" s="24"/>
      <c r="NPC91" s="24"/>
      <c r="NPD91" s="24"/>
      <c r="NPE91" s="24"/>
      <c r="NPF91" s="24"/>
      <c r="NPG91" s="24"/>
      <c r="NPH91" s="24"/>
      <c r="NPI91" s="24"/>
      <c r="NPJ91" s="24"/>
      <c r="NPK91" s="24"/>
      <c r="NPL91" s="24"/>
      <c r="NPM91" s="24"/>
      <c r="NPN91" s="24"/>
      <c r="NPO91" s="24"/>
      <c r="NPP91" s="24"/>
      <c r="NPQ91" s="24"/>
      <c r="NPR91" s="24"/>
      <c r="NPS91" s="24"/>
      <c r="NPT91" s="24"/>
      <c r="NPU91" s="24"/>
      <c r="NPV91" s="24"/>
      <c r="NPW91" s="24"/>
      <c r="NPX91" s="24"/>
      <c r="NPY91" s="24"/>
      <c r="NPZ91" s="24"/>
      <c r="NQA91" s="24"/>
      <c r="NQB91" s="24"/>
      <c r="NQC91" s="24"/>
      <c r="NQD91" s="24"/>
      <c r="NQE91" s="24"/>
      <c r="NQF91" s="24"/>
      <c r="NQG91" s="24"/>
      <c r="NQH91" s="24"/>
      <c r="NQI91" s="24"/>
      <c r="NQJ91" s="24"/>
      <c r="NQK91" s="24"/>
      <c r="NQL91" s="24"/>
      <c r="NQM91" s="24"/>
      <c r="NQN91" s="24"/>
      <c r="NQO91" s="24"/>
      <c r="NQP91" s="24"/>
      <c r="NQQ91" s="24"/>
      <c r="NQR91" s="24"/>
      <c r="NQS91" s="24"/>
      <c r="NQT91" s="24"/>
      <c r="NQU91" s="24"/>
      <c r="NQV91" s="24"/>
      <c r="NQW91" s="24"/>
      <c r="NQX91" s="24"/>
      <c r="NQY91" s="24"/>
      <c r="NQZ91" s="24"/>
      <c r="NRA91" s="24"/>
      <c r="NRB91" s="24"/>
      <c r="NRC91" s="24"/>
      <c r="NRD91" s="24"/>
      <c r="NRE91" s="24"/>
      <c r="NRF91" s="24"/>
      <c r="NRG91" s="24"/>
      <c r="NRH91" s="24"/>
      <c r="NRI91" s="24"/>
      <c r="NRJ91" s="24"/>
      <c r="NRK91" s="24"/>
      <c r="NRL91" s="24"/>
      <c r="NRM91" s="24"/>
      <c r="NRN91" s="24"/>
      <c r="NRO91" s="24"/>
      <c r="NRP91" s="24"/>
      <c r="NRQ91" s="24"/>
      <c r="NRR91" s="24"/>
      <c r="NRS91" s="24"/>
      <c r="NRT91" s="24"/>
      <c r="NRU91" s="24"/>
      <c r="NRV91" s="24"/>
      <c r="NRW91" s="24"/>
      <c r="NRX91" s="24"/>
      <c r="NRY91" s="24"/>
      <c r="NRZ91" s="24"/>
      <c r="NSA91" s="24"/>
      <c r="NSB91" s="24"/>
      <c r="NSC91" s="24"/>
      <c r="NSD91" s="24"/>
      <c r="NSE91" s="24"/>
      <c r="NSF91" s="24"/>
      <c r="NSG91" s="24"/>
      <c r="NSH91" s="24"/>
      <c r="NSI91" s="24"/>
      <c r="NSJ91" s="24"/>
      <c r="NSK91" s="24"/>
      <c r="NSL91" s="24"/>
      <c r="NSM91" s="24"/>
      <c r="NSN91" s="24"/>
      <c r="NSO91" s="24"/>
      <c r="NSP91" s="24"/>
      <c r="NSQ91" s="24"/>
      <c r="NSR91" s="24"/>
      <c r="NSS91" s="24"/>
      <c r="NST91" s="24"/>
      <c r="NSU91" s="24"/>
      <c r="NSV91" s="24"/>
      <c r="NSW91" s="24"/>
      <c r="NSX91" s="24"/>
      <c r="NSY91" s="24"/>
      <c r="NSZ91" s="24"/>
      <c r="NTA91" s="24"/>
      <c r="NTB91" s="24"/>
      <c r="NTC91" s="24"/>
      <c r="NTD91" s="24"/>
      <c r="NTE91" s="24"/>
      <c r="NTF91" s="24"/>
      <c r="NTG91" s="24"/>
      <c r="NTH91" s="24"/>
      <c r="NTI91" s="24"/>
      <c r="NTJ91" s="24"/>
      <c r="NTK91" s="24"/>
      <c r="NTL91" s="24"/>
      <c r="NTM91" s="24"/>
      <c r="NTN91" s="24"/>
      <c r="NTO91" s="24"/>
      <c r="NTP91" s="24"/>
      <c r="NTQ91" s="24"/>
      <c r="NTR91" s="24"/>
      <c r="NTS91" s="24"/>
      <c r="NTT91" s="24"/>
      <c r="NTU91" s="24"/>
      <c r="NTV91" s="24"/>
      <c r="NTW91" s="24"/>
      <c r="NTX91" s="24"/>
      <c r="NTY91" s="24"/>
      <c r="NTZ91" s="24"/>
      <c r="NUA91" s="24"/>
      <c r="NUB91" s="24"/>
      <c r="NUC91" s="24"/>
      <c r="NUD91" s="24"/>
      <c r="NUE91" s="24"/>
      <c r="NUF91" s="24"/>
      <c r="NUG91" s="24"/>
      <c r="NUH91" s="24"/>
      <c r="NUI91" s="24"/>
      <c r="NUJ91" s="24"/>
      <c r="NUK91" s="24"/>
      <c r="NUL91" s="24"/>
      <c r="NUM91" s="24"/>
      <c r="NUN91" s="24"/>
      <c r="NUO91" s="24"/>
      <c r="NUP91" s="24"/>
      <c r="NUQ91" s="24"/>
      <c r="NUR91" s="24"/>
      <c r="NUS91" s="24"/>
      <c r="NUT91" s="24"/>
      <c r="NUU91" s="24"/>
      <c r="NUV91" s="24"/>
      <c r="NUW91" s="24"/>
      <c r="NUX91" s="24"/>
      <c r="NUY91" s="24"/>
      <c r="NUZ91" s="24"/>
      <c r="NVA91" s="24"/>
      <c r="NVB91" s="24"/>
      <c r="NVC91" s="24"/>
      <c r="NVD91" s="24"/>
      <c r="NVE91" s="24"/>
      <c r="NVF91" s="24"/>
      <c r="NVG91" s="24"/>
      <c r="NVH91" s="24"/>
      <c r="NVI91" s="24"/>
      <c r="NVJ91" s="24"/>
      <c r="NVK91" s="24"/>
      <c r="NVL91" s="24"/>
      <c r="NVM91" s="24"/>
      <c r="NVN91" s="24"/>
      <c r="NVO91" s="24"/>
      <c r="NVP91" s="24"/>
      <c r="NVQ91" s="24"/>
      <c r="NVR91" s="24"/>
      <c r="NVS91" s="24"/>
      <c r="NVT91" s="24"/>
      <c r="NVU91" s="24"/>
      <c r="NVV91" s="24"/>
      <c r="NVW91" s="24"/>
      <c r="NVX91" s="24"/>
      <c r="NVY91" s="24"/>
      <c r="NVZ91" s="24"/>
      <c r="NWA91" s="24"/>
      <c r="NWB91" s="24"/>
      <c r="NWC91" s="24"/>
      <c r="NWD91" s="24"/>
      <c r="NWE91" s="24"/>
      <c r="NWF91" s="24"/>
      <c r="NWG91" s="24"/>
      <c r="NWH91" s="24"/>
      <c r="NWI91" s="24"/>
      <c r="NWJ91" s="24"/>
      <c r="NWK91" s="24"/>
      <c r="NWL91" s="24"/>
      <c r="NWM91" s="24"/>
      <c r="NWN91" s="24"/>
      <c r="NWO91" s="24"/>
      <c r="NWP91" s="24"/>
      <c r="NWQ91" s="24"/>
      <c r="NWR91" s="24"/>
      <c r="NWS91" s="24"/>
      <c r="NWT91" s="24"/>
      <c r="NWU91" s="24"/>
      <c r="NWV91" s="24"/>
      <c r="NWW91" s="24"/>
      <c r="NWX91" s="24"/>
      <c r="NWY91" s="24"/>
      <c r="NWZ91" s="24"/>
      <c r="NXA91" s="24"/>
      <c r="NXB91" s="24"/>
      <c r="NXC91" s="24"/>
      <c r="NXD91" s="24"/>
      <c r="NXE91" s="24"/>
      <c r="NXF91" s="24"/>
      <c r="NXG91" s="24"/>
      <c r="NXH91" s="24"/>
      <c r="NXI91" s="24"/>
      <c r="NXJ91" s="24"/>
      <c r="NXK91" s="24"/>
      <c r="NXL91" s="24"/>
      <c r="NXM91" s="24"/>
      <c r="NXN91" s="24"/>
      <c r="NXO91" s="24"/>
      <c r="NXP91" s="24"/>
      <c r="NXQ91" s="24"/>
      <c r="NXR91" s="24"/>
      <c r="NXS91" s="24"/>
      <c r="NXT91" s="24"/>
      <c r="NXU91" s="24"/>
      <c r="NXV91" s="24"/>
      <c r="NXW91" s="24"/>
      <c r="NXX91" s="24"/>
      <c r="NXY91" s="24"/>
      <c r="NXZ91" s="24"/>
      <c r="NYA91" s="24"/>
      <c r="NYB91" s="24"/>
      <c r="NYC91" s="24"/>
      <c r="NYD91" s="24"/>
      <c r="NYE91" s="24"/>
      <c r="NYF91" s="24"/>
      <c r="NYG91" s="24"/>
      <c r="NYH91" s="24"/>
      <c r="NYI91" s="24"/>
      <c r="NYJ91" s="24"/>
      <c r="NYK91" s="24"/>
      <c r="NYL91" s="24"/>
      <c r="NYM91" s="24"/>
      <c r="NYN91" s="24"/>
      <c r="NYO91" s="24"/>
      <c r="NYP91" s="24"/>
      <c r="NYQ91" s="24"/>
      <c r="NYR91" s="24"/>
      <c r="NYS91" s="24"/>
      <c r="NYT91" s="24"/>
      <c r="NYU91" s="24"/>
      <c r="NYV91" s="24"/>
      <c r="NYW91" s="24"/>
      <c r="NYX91" s="24"/>
      <c r="NYY91" s="24"/>
      <c r="NYZ91" s="24"/>
      <c r="NZA91" s="24"/>
      <c r="NZB91" s="24"/>
      <c r="NZC91" s="24"/>
      <c r="NZD91" s="24"/>
      <c r="NZE91" s="24"/>
      <c r="NZF91" s="24"/>
      <c r="NZG91" s="24"/>
      <c r="NZH91" s="24"/>
      <c r="NZI91" s="24"/>
      <c r="NZJ91" s="24"/>
      <c r="NZK91" s="24"/>
      <c r="NZL91" s="24"/>
      <c r="NZM91" s="24"/>
      <c r="NZN91" s="24"/>
      <c r="NZO91" s="24"/>
      <c r="NZP91" s="24"/>
      <c r="NZQ91" s="24"/>
      <c r="NZR91" s="24"/>
      <c r="NZS91" s="24"/>
      <c r="NZT91" s="24"/>
      <c r="NZU91" s="24"/>
      <c r="NZV91" s="24"/>
      <c r="NZW91" s="24"/>
      <c r="NZX91" s="24"/>
      <c r="NZY91" s="24"/>
      <c r="NZZ91" s="24"/>
      <c r="OAA91" s="24"/>
      <c r="OAB91" s="24"/>
      <c r="OAC91" s="24"/>
      <c r="OAD91" s="24"/>
      <c r="OAE91" s="24"/>
      <c r="OAF91" s="24"/>
      <c r="OAG91" s="24"/>
      <c r="OAH91" s="24"/>
      <c r="OAI91" s="24"/>
      <c r="OAJ91" s="24"/>
      <c r="OAK91" s="24"/>
      <c r="OAL91" s="24"/>
      <c r="OAM91" s="24"/>
      <c r="OAN91" s="24"/>
      <c r="OAO91" s="24"/>
      <c r="OAP91" s="24"/>
      <c r="OAQ91" s="24"/>
      <c r="OAR91" s="24"/>
      <c r="OAS91" s="24"/>
      <c r="OAT91" s="24"/>
      <c r="OAU91" s="24"/>
      <c r="OAV91" s="24"/>
      <c r="OAW91" s="24"/>
      <c r="OAX91" s="24"/>
      <c r="OAY91" s="24"/>
      <c r="OAZ91" s="24"/>
      <c r="OBA91" s="24"/>
      <c r="OBB91" s="24"/>
      <c r="OBC91" s="24"/>
      <c r="OBD91" s="24"/>
      <c r="OBE91" s="24"/>
      <c r="OBF91" s="24"/>
      <c r="OBG91" s="24"/>
      <c r="OBH91" s="24"/>
      <c r="OBI91" s="24"/>
      <c r="OBJ91" s="24"/>
      <c r="OBK91" s="24"/>
      <c r="OBL91" s="24"/>
      <c r="OBM91" s="24"/>
      <c r="OBN91" s="24"/>
      <c r="OBO91" s="24"/>
      <c r="OBP91" s="24"/>
      <c r="OBQ91" s="24"/>
      <c r="OBR91" s="24"/>
      <c r="OBS91" s="24"/>
      <c r="OBT91" s="24"/>
      <c r="OBU91" s="24"/>
      <c r="OBV91" s="24"/>
      <c r="OBW91" s="24"/>
      <c r="OBX91" s="24"/>
      <c r="OBY91" s="24"/>
      <c r="OBZ91" s="24"/>
      <c r="OCA91" s="24"/>
      <c r="OCB91" s="24"/>
      <c r="OCC91" s="24"/>
      <c r="OCD91" s="24"/>
      <c r="OCE91" s="24"/>
      <c r="OCF91" s="24"/>
      <c r="OCG91" s="24"/>
      <c r="OCH91" s="24"/>
      <c r="OCI91" s="24"/>
      <c r="OCJ91" s="24"/>
      <c r="OCK91" s="24"/>
      <c r="OCL91" s="24"/>
      <c r="OCM91" s="24"/>
      <c r="OCN91" s="24"/>
      <c r="OCO91" s="24"/>
      <c r="OCP91" s="24"/>
      <c r="OCQ91" s="24"/>
      <c r="OCR91" s="24"/>
      <c r="OCS91" s="24"/>
      <c r="OCT91" s="24"/>
      <c r="OCU91" s="24"/>
      <c r="OCV91" s="24"/>
      <c r="OCW91" s="24"/>
      <c r="OCX91" s="24"/>
      <c r="OCY91" s="24"/>
      <c r="OCZ91" s="24"/>
      <c r="ODA91" s="24"/>
      <c r="ODB91" s="24"/>
      <c r="ODC91" s="24"/>
      <c r="ODD91" s="24"/>
      <c r="ODE91" s="24"/>
      <c r="ODF91" s="24"/>
      <c r="ODG91" s="24"/>
      <c r="ODH91" s="24"/>
      <c r="ODI91" s="24"/>
      <c r="ODJ91" s="24"/>
      <c r="ODK91" s="24"/>
      <c r="ODL91" s="24"/>
      <c r="ODM91" s="24"/>
      <c r="ODN91" s="24"/>
      <c r="ODO91" s="24"/>
      <c r="ODP91" s="24"/>
      <c r="ODQ91" s="24"/>
      <c r="ODR91" s="24"/>
      <c r="ODS91" s="24"/>
      <c r="ODT91" s="24"/>
      <c r="ODU91" s="24"/>
      <c r="ODV91" s="24"/>
      <c r="ODW91" s="24"/>
      <c r="ODX91" s="24"/>
      <c r="ODY91" s="24"/>
      <c r="ODZ91" s="24"/>
      <c r="OEA91" s="24"/>
      <c r="OEB91" s="24"/>
      <c r="OEC91" s="24"/>
      <c r="OED91" s="24"/>
      <c r="OEE91" s="24"/>
      <c r="OEF91" s="24"/>
      <c r="OEG91" s="24"/>
      <c r="OEH91" s="24"/>
      <c r="OEI91" s="24"/>
      <c r="OEJ91" s="24"/>
      <c r="OEK91" s="24"/>
      <c r="OEL91" s="24"/>
      <c r="OEM91" s="24"/>
      <c r="OEN91" s="24"/>
      <c r="OEO91" s="24"/>
      <c r="OEP91" s="24"/>
      <c r="OEQ91" s="24"/>
      <c r="OER91" s="24"/>
      <c r="OES91" s="24"/>
      <c r="OET91" s="24"/>
      <c r="OEU91" s="24"/>
      <c r="OEV91" s="24"/>
      <c r="OEW91" s="24"/>
      <c r="OEX91" s="24"/>
      <c r="OEY91" s="24"/>
      <c r="OEZ91" s="24"/>
      <c r="OFA91" s="24"/>
      <c r="OFB91" s="24"/>
      <c r="OFC91" s="24"/>
      <c r="OFD91" s="24"/>
      <c r="OFE91" s="24"/>
      <c r="OFF91" s="24"/>
      <c r="OFG91" s="24"/>
      <c r="OFH91" s="24"/>
      <c r="OFI91" s="24"/>
      <c r="OFJ91" s="24"/>
      <c r="OFK91" s="24"/>
      <c r="OFL91" s="24"/>
      <c r="OFM91" s="24"/>
      <c r="OFN91" s="24"/>
      <c r="OFO91" s="24"/>
      <c r="OFP91" s="24"/>
      <c r="OFQ91" s="24"/>
      <c r="OFR91" s="24"/>
      <c r="OFS91" s="24"/>
      <c r="OFT91" s="24"/>
      <c r="OFU91" s="24"/>
      <c r="OFV91" s="24"/>
      <c r="OFW91" s="24"/>
      <c r="OFX91" s="24"/>
      <c r="OFY91" s="24"/>
      <c r="OFZ91" s="24"/>
      <c r="OGA91" s="24"/>
      <c r="OGB91" s="24"/>
      <c r="OGC91" s="24"/>
      <c r="OGD91" s="24"/>
      <c r="OGE91" s="24"/>
      <c r="OGF91" s="24"/>
      <c r="OGG91" s="24"/>
      <c r="OGH91" s="24"/>
      <c r="OGI91" s="24"/>
      <c r="OGJ91" s="24"/>
      <c r="OGK91" s="24"/>
      <c r="OGL91" s="24"/>
      <c r="OGM91" s="24"/>
      <c r="OGN91" s="24"/>
      <c r="OGO91" s="24"/>
      <c r="OGP91" s="24"/>
      <c r="OGQ91" s="24"/>
      <c r="OGR91" s="24"/>
      <c r="OGS91" s="24"/>
      <c r="OGT91" s="24"/>
      <c r="OGU91" s="24"/>
      <c r="OGV91" s="24"/>
      <c r="OGW91" s="24"/>
      <c r="OGX91" s="24"/>
      <c r="OGY91" s="24"/>
      <c r="OGZ91" s="24"/>
      <c r="OHA91" s="24"/>
      <c r="OHB91" s="24"/>
      <c r="OHC91" s="24"/>
      <c r="OHD91" s="24"/>
      <c r="OHE91" s="24"/>
      <c r="OHF91" s="24"/>
      <c r="OHG91" s="24"/>
      <c r="OHH91" s="24"/>
      <c r="OHI91" s="24"/>
      <c r="OHJ91" s="24"/>
      <c r="OHK91" s="24"/>
      <c r="OHL91" s="24"/>
      <c r="OHM91" s="24"/>
      <c r="OHN91" s="24"/>
      <c r="OHO91" s="24"/>
      <c r="OHP91" s="24"/>
      <c r="OHQ91" s="24"/>
      <c r="OHR91" s="24"/>
      <c r="OHS91" s="24"/>
      <c r="OHT91" s="24"/>
      <c r="OHU91" s="24"/>
      <c r="OHV91" s="24"/>
      <c r="OHW91" s="24"/>
      <c r="OHX91" s="24"/>
      <c r="OHY91" s="24"/>
      <c r="OHZ91" s="24"/>
      <c r="OIA91" s="24"/>
      <c r="OIB91" s="24"/>
      <c r="OIC91" s="24"/>
      <c r="OID91" s="24"/>
      <c r="OIE91" s="24"/>
      <c r="OIF91" s="24"/>
      <c r="OIG91" s="24"/>
      <c r="OIH91" s="24"/>
      <c r="OII91" s="24"/>
      <c r="OIJ91" s="24"/>
      <c r="OIK91" s="24"/>
      <c r="OIL91" s="24"/>
      <c r="OIM91" s="24"/>
      <c r="OIN91" s="24"/>
      <c r="OIO91" s="24"/>
      <c r="OIP91" s="24"/>
      <c r="OIQ91" s="24"/>
      <c r="OIR91" s="24"/>
      <c r="OIS91" s="24"/>
      <c r="OIT91" s="24"/>
      <c r="OIU91" s="24"/>
      <c r="OIV91" s="24"/>
      <c r="OIW91" s="24"/>
      <c r="OIX91" s="24"/>
      <c r="OIY91" s="24"/>
      <c r="OIZ91" s="24"/>
      <c r="OJA91" s="24"/>
      <c r="OJB91" s="24"/>
      <c r="OJC91" s="24"/>
      <c r="OJD91" s="24"/>
      <c r="OJE91" s="24"/>
      <c r="OJF91" s="24"/>
      <c r="OJG91" s="24"/>
      <c r="OJH91" s="24"/>
      <c r="OJI91" s="24"/>
      <c r="OJJ91" s="24"/>
      <c r="OJK91" s="24"/>
      <c r="OJL91" s="24"/>
      <c r="OJM91" s="24"/>
      <c r="OJN91" s="24"/>
      <c r="OJO91" s="24"/>
      <c r="OJP91" s="24"/>
      <c r="OJQ91" s="24"/>
      <c r="OJR91" s="24"/>
      <c r="OJS91" s="24"/>
      <c r="OJT91" s="24"/>
      <c r="OJU91" s="24"/>
      <c r="OJV91" s="24"/>
      <c r="OJW91" s="24"/>
      <c r="OJX91" s="24"/>
      <c r="OJY91" s="24"/>
      <c r="OJZ91" s="24"/>
      <c r="OKA91" s="24"/>
      <c r="OKB91" s="24"/>
      <c r="OKC91" s="24"/>
      <c r="OKD91" s="24"/>
      <c r="OKE91" s="24"/>
      <c r="OKF91" s="24"/>
      <c r="OKG91" s="24"/>
      <c r="OKH91" s="24"/>
      <c r="OKI91" s="24"/>
      <c r="OKJ91" s="24"/>
      <c r="OKK91" s="24"/>
      <c r="OKL91" s="24"/>
      <c r="OKM91" s="24"/>
      <c r="OKN91" s="24"/>
      <c r="OKO91" s="24"/>
      <c r="OKP91" s="24"/>
      <c r="OKQ91" s="24"/>
      <c r="OKR91" s="24"/>
      <c r="OKS91" s="24"/>
      <c r="OKT91" s="24"/>
      <c r="OKU91" s="24"/>
      <c r="OKV91" s="24"/>
      <c r="OKW91" s="24"/>
      <c r="OKX91" s="24"/>
      <c r="OKY91" s="24"/>
      <c r="OKZ91" s="24"/>
      <c r="OLA91" s="24"/>
      <c r="OLB91" s="24"/>
      <c r="OLC91" s="24"/>
      <c r="OLD91" s="24"/>
      <c r="OLE91" s="24"/>
      <c r="OLF91" s="24"/>
      <c r="OLG91" s="24"/>
      <c r="OLH91" s="24"/>
      <c r="OLI91" s="24"/>
      <c r="OLJ91" s="24"/>
      <c r="OLK91" s="24"/>
      <c r="OLL91" s="24"/>
      <c r="OLM91" s="24"/>
      <c r="OLN91" s="24"/>
      <c r="OLO91" s="24"/>
      <c r="OLP91" s="24"/>
      <c r="OLQ91" s="24"/>
      <c r="OLR91" s="24"/>
      <c r="OLS91" s="24"/>
      <c r="OLT91" s="24"/>
      <c r="OLU91" s="24"/>
      <c r="OLV91" s="24"/>
      <c r="OLW91" s="24"/>
      <c r="OLX91" s="24"/>
      <c r="OLY91" s="24"/>
      <c r="OLZ91" s="24"/>
      <c r="OMA91" s="24"/>
      <c r="OMB91" s="24"/>
      <c r="OMC91" s="24"/>
      <c r="OMD91" s="24"/>
      <c r="OME91" s="24"/>
      <c r="OMF91" s="24"/>
      <c r="OMG91" s="24"/>
      <c r="OMH91" s="24"/>
      <c r="OMI91" s="24"/>
      <c r="OMJ91" s="24"/>
      <c r="OMK91" s="24"/>
      <c r="OML91" s="24"/>
      <c r="OMM91" s="24"/>
      <c r="OMN91" s="24"/>
      <c r="OMO91" s="24"/>
      <c r="OMP91" s="24"/>
      <c r="OMQ91" s="24"/>
      <c r="OMR91" s="24"/>
      <c r="OMS91" s="24"/>
      <c r="OMT91" s="24"/>
      <c r="OMU91" s="24"/>
      <c r="OMV91" s="24"/>
      <c r="OMW91" s="24"/>
      <c r="OMX91" s="24"/>
      <c r="OMY91" s="24"/>
      <c r="OMZ91" s="24"/>
      <c r="ONA91" s="24"/>
      <c r="ONB91" s="24"/>
      <c r="ONC91" s="24"/>
      <c r="OND91" s="24"/>
      <c r="ONE91" s="24"/>
      <c r="ONF91" s="24"/>
      <c r="ONG91" s="24"/>
      <c r="ONH91" s="24"/>
      <c r="ONI91" s="24"/>
      <c r="ONJ91" s="24"/>
      <c r="ONK91" s="24"/>
      <c r="ONL91" s="24"/>
      <c r="ONM91" s="24"/>
      <c r="ONN91" s="24"/>
      <c r="ONO91" s="24"/>
      <c r="ONP91" s="24"/>
      <c r="ONQ91" s="24"/>
      <c r="ONR91" s="24"/>
      <c r="ONS91" s="24"/>
      <c r="ONT91" s="24"/>
      <c r="ONU91" s="24"/>
      <c r="ONV91" s="24"/>
      <c r="ONW91" s="24"/>
      <c r="ONX91" s="24"/>
      <c r="ONY91" s="24"/>
      <c r="ONZ91" s="24"/>
      <c r="OOA91" s="24"/>
      <c r="OOB91" s="24"/>
      <c r="OOC91" s="24"/>
      <c r="OOD91" s="24"/>
      <c r="OOE91" s="24"/>
      <c r="OOF91" s="24"/>
      <c r="OOG91" s="24"/>
      <c r="OOH91" s="24"/>
      <c r="OOI91" s="24"/>
      <c r="OOJ91" s="24"/>
      <c r="OOK91" s="24"/>
      <c r="OOL91" s="24"/>
      <c r="OOM91" s="24"/>
      <c r="OON91" s="24"/>
      <c r="OOO91" s="24"/>
      <c r="OOP91" s="24"/>
      <c r="OOQ91" s="24"/>
      <c r="OOR91" s="24"/>
      <c r="OOS91" s="24"/>
      <c r="OOT91" s="24"/>
      <c r="OOU91" s="24"/>
      <c r="OOV91" s="24"/>
      <c r="OOW91" s="24"/>
      <c r="OOX91" s="24"/>
      <c r="OOY91" s="24"/>
      <c r="OOZ91" s="24"/>
      <c r="OPA91" s="24"/>
      <c r="OPB91" s="24"/>
      <c r="OPC91" s="24"/>
      <c r="OPD91" s="24"/>
      <c r="OPE91" s="24"/>
      <c r="OPF91" s="24"/>
      <c r="OPG91" s="24"/>
      <c r="OPH91" s="24"/>
      <c r="OPI91" s="24"/>
      <c r="OPJ91" s="24"/>
      <c r="OPK91" s="24"/>
      <c r="OPL91" s="24"/>
      <c r="OPM91" s="24"/>
      <c r="OPN91" s="24"/>
      <c r="OPO91" s="24"/>
      <c r="OPP91" s="24"/>
      <c r="OPQ91" s="24"/>
      <c r="OPR91" s="24"/>
      <c r="OPS91" s="24"/>
      <c r="OPT91" s="24"/>
      <c r="OPU91" s="24"/>
      <c r="OPV91" s="24"/>
      <c r="OPW91" s="24"/>
      <c r="OPX91" s="24"/>
      <c r="OPY91" s="24"/>
      <c r="OPZ91" s="24"/>
      <c r="OQA91" s="24"/>
      <c r="OQB91" s="24"/>
      <c r="OQC91" s="24"/>
      <c r="OQD91" s="24"/>
      <c r="OQE91" s="24"/>
      <c r="OQF91" s="24"/>
      <c r="OQG91" s="24"/>
      <c r="OQH91" s="24"/>
      <c r="OQI91" s="24"/>
      <c r="OQJ91" s="24"/>
      <c r="OQK91" s="24"/>
      <c r="OQL91" s="24"/>
      <c r="OQM91" s="24"/>
      <c r="OQN91" s="24"/>
      <c r="OQO91" s="24"/>
      <c r="OQP91" s="24"/>
      <c r="OQQ91" s="24"/>
      <c r="OQR91" s="24"/>
      <c r="OQS91" s="24"/>
      <c r="OQT91" s="24"/>
      <c r="OQU91" s="24"/>
      <c r="OQV91" s="24"/>
      <c r="OQW91" s="24"/>
      <c r="OQX91" s="24"/>
      <c r="OQY91" s="24"/>
      <c r="OQZ91" s="24"/>
      <c r="ORA91" s="24"/>
      <c r="ORB91" s="24"/>
      <c r="ORC91" s="24"/>
      <c r="ORD91" s="24"/>
      <c r="ORE91" s="24"/>
      <c r="ORF91" s="24"/>
      <c r="ORG91" s="24"/>
      <c r="ORH91" s="24"/>
      <c r="ORI91" s="24"/>
      <c r="ORJ91" s="24"/>
      <c r="ORK91" s="24"/>
      <c r="ORL91" s="24"/>
      <c r="ORM91" s="24"/>
      <c r="ORN91" s="24"/>
      <c r="ORO91" s="24"/>
      <c r="ORP91" s="24"/>
      <c r="ORQ91" s="24"/>
      <c r="ORR91" s="24"/>
      <c r="ORS91" s="24"/>
      <c r="ORT91" s="24"/>
      <c r="ORU91" s="24"/>
      <c r="ORV91" s="24"/>
      <c r="ORW91" s="24"/>
      <c r="ORX91" s="24"/>
      <c r="ORY91" s="24"/>
      <c r="ORZ91" s="24"/>
      <c r="OSA91" s="24"/>
      <c r="OSB91" s="24"/>
      <c r="OSC91" s="24"/>
      <c r="OSD91" s="24"/>
      <c r="OSE91" s="24"/>
      <c r="OSF91" s="24"/>
      <c r="OSG91" s="24"/>
      <c r="OSH91" s="24"/>
      <c r="OSI91" s="24"/>
      <c r="OSJ91" s="24"/>
      <c r="OSK91" s="24"/>
      <c r="OSL91" s="24"/>
      <c r="OSM91" s="24"/>
      <c r="OSN91" s="24"/>
      <c r="OSO91" s="24"/>
      <c r="OSP91" s="24"/>
      <c r="OSQ91" s="24"/>
      <c r="OSR91" s="24"/>
      <c r="OSS91" s="24"/>
      <c r="OST91" s="24"/>
      <c r="OSU91" s="24"/>
      <c r="OSV91" s="24"/>
      <c r="OSW91" s="24"/>
      <c r="OSX91" s="24"/>
      <c r="OSY91" s="24"/>
      <c r="OSZ91" s="24"/>
      <c r="OTA91" s="24"/>
      <c r="OTB91" s="24"/>
      <c r="OTC91" s="24"/>
      <c r="OTD91" s="24"/>
      <c r="OTE91" s="24"/>
      <c r="OTF91" s="24"/>
      <c r="OTG91" s="24"/>
      <c r="OTH91" s="24"/>
      <c r="OTI91" s="24"/>
      <c r="OTJ91" s="24"/>
      <c r="OTK91" s="24"/>
      <c r="OTL91" s="24"/>
      <c r="OTM91" s="24"/>
      <c r="OTN91" s="24"/>
      <c r="OTO91" s="24"/>
      <c r="OTP91" s="24"/>
      <c r="OTQ91" s="24"/>
      <c r="OTR91" s="24"/>
      <c r="OTS91" s="24"/>
      <c r="OTT91" s="24"/>
      <c r="OTU91" s="24"/>
      <c r="OTV91" s="24"/>
      <c r="OTW91" s="24"/>
      <c r="OTX91" s="24"/>
      <c r="OTY91" s="24"/>
      <c r="OTZ91" s="24"/>
      <c r="OUA91" s="24"/>
      <c r="OUB91" s="24"/>
      <c r="OUC91" s="24"/>
      <c r="OUD91" s="24"/>
      <c r="OUE91" s="24"/>
      <c r="OUF91" s="24"/>
      <c r="OUG91" s="24"/>
      <c r="OUH91" s="24"/>
      <c r="OUI91" s="24"/>
      <c r="OUJ91" s="24"/>
      <c r="OUK91" s="24"/>
      <c r="OUL91" s="24"/>
      <c r="OUM91" s="24"/>
      <c r="OUN91" s="24"/>
      <c r="OUO91" s="24"/>
      <c r="OUP91" s="24"/>
      <c r="OUQ91" s="24"/>
      <c r="OUR91" s="24"/>
      <c r="OUS91" s="24"/>
      <c r="OUT91" s="24"/>
      <c r="OUU91" s="24"/>
      <c r="OUV91" s="24"/>
      <c r="OUW91" s="24"/>
      <c r="OUX91" s="24"/>
      <c r="OUY91" s="24"/>
      <c r="OUZ91" s="24"/>
      <c r="OVA91" s="24"/>
      <c r="OVB91" s="24"/>
      <c r="OVC91" s="24"/>
      <c r="OVD91" s="24"/>
      <c r="OVE91" s="24"/>
      <c r="OVF91" s="24"/>
      <c r="OVG91" s="24"/>
      <c r="OVH91" s="24"/>
      <c r="OVI91" s="24"/>
      <c r="OVJ91" s="24"/>
      <c r="OVK91" s="24"/>
      <c r="OVL91" s="24"/>
      <c r="OVM91" s="24"/>
      <c r="OVN91" s="24"/>
      <c r="OVO91" s="24"/>
      <c r="OVP91" s="24"/>
      <c r="OVQ91" s="24"/>
      <c r="OVR91" s="24"/>
      <c r="OVS91" s="24"/>
      <c r="OVT91" s="24"/>
      <c r="OVU91" s="24"/>
      <c r="OVV91" s="24"/>
      <c r="OVW91" s="24"/>
      <c r="OVX91" s="24"/>
      <c r="OVY91" s="24"/>
      <c r="OVZ91" s="24"/>
      <c r="OWA91" s="24"/>
      <c r="OWB91" s="24"/>
      <c r="OWC91" s="24"/>
      <c r="OWD91" s="24"/>
      <c r="OWE91" s="24"/>
      <c r="OWF91" s="24"/>
      <c r="OWG91" s="24"/>
      <c r="OWH91" s="24"/>
      <c r="OWI91" s="24"/>
      <c r="OWJ91" s="24"/>
      <c r="OWK91" s="24"/>
      <c r="OWL91" s="24"/>
      <c r="OWM91" s="24"/>
      <c r="OWN91" s="24"/>
      <c r="OWO91" s="24"/>
      <c r="OWP91" s="24"/>
      <c r="OWQ91" s="24"/>
      <c r="OWR91" s="24"/>
      <c r="OWS91" s="24"/>
      <c r="OWT91" s="24"/>
      <c r="OWU91" s="24"/>
      <c r="OWV91" s="24"/>
      <c r="OWW91" s="24"/>
      <c r="OWX91" s="24"/>
      <c r="OWY91" s="24"/>
      <c r="OWZ91" s="24"/>
      <c r="OXA91" s="24"/>
      <c r="OXB91" s="24"/>
      <c r="OXC91" s="24"/>
      <c r="OXD91" s="24"/>
      <c r="OXE91" s="24"/>
      <c r="OXF91" s="24"/>
      <c r="OXG91" s="24"/>
      <c r="OXH91" s="24"/>
      <c r="OXI91" s="24"/>
      <c r="OXJ91" s="24"/>
      <c r="OXK91" s="24"/>
      <c r="OXL91" s="24"/>
      <c r="OXM91" s="24"/>
      <c r="OXN91" s="24"/>
      <c r="OXO91" s="24"/>
      <c r="OXP91" s="24"/>
      <c r="OXQ91" s="24"/>
      <c r="OXR91" s="24"/>
      <c r="OXS91" s="24"/>
      <c r="OXT91" s="24"/>
      <c r="OXU91" s="24"/>
      <c r="OXV91" s="24"/>
      <c r="OXW91" s="24"/>
      <c r="OXX91" s="24"/>
      <c r="OXY91" s="24"/>
      <c r="OXZ91" s="24"/>
      <c r="OYA91" s="24"/>
      <c r="OYB91" s="24"/>
      <c r="OYC91" s="24"/>
      <c r="OYD91" s="24"/>
      <c r="OYE91" s="24"/>
      <c r="OYF91" s="24"/>
      <c r="OYG91" s="24"/>
      <c r="OYH91" s="24"/>
      <c r="OYI91" s="24"/>
      <c r="OYJ91" s="24"/>
      <c r="OYK91" s="24"/>
      <c r="OYL91" s="24"/>
      <c r="OYM91" s="24"/>
      <c r="OYN91" s="24"/>
      <c r="OYO91" s="24"/>
      <c r="OYP91" s="24"/>
      <c r="OYQ91" s="24"/>
      <c r="OYR91" s="24"/>
      <c r="OYS91" s="24"/>
      <c r="OYT91" s="24"/>
      <c r="OYU91" s="24"/>
      <c r="OYV91" s="24"/>
      <c r="OYW91" s="24"/>
      <c r="OYX91" s="24"/>
      <c r="OYY91" s="24"/>
      <c r="OYZ91" s="24"/>
      <c r="OZA91" s="24"/>
      <c r="OZB91" s="24"/>
      <c r="OZC91" s="24"/>
      <c r="OZD91" s="24"/>
      <c r="OZE91" s="24"/>
      <c r="OZF91" s="24"/>
      <c r="OZG91" s="24"/>
      <c r="OZH91" s="24"/>
      <c r="OZI91" s="24"/>
      <c r="OZJ91" s="24"/>
      <c r="OZK91" s="24"/>
      <c r="OZL91" s="24"/>
      <c r="OZM91" s="24"/>
      <c r="OZN91" s="24"/>
      <c r="OZO91" s="24"/>
      <c r="OZP91" s="24"/>
      <c r="OZQ91" s="24"/>
      <c r="OZR91" s="24"/>
      <c r="OZS91" s="24"/>
      <c r="OZT91" s="24"/>
      <c r="OZU91" s="24"/>
      <c r="OZV91" s="24"/>
      <c r="OZW91" s="24"/>
      <c r="OZX91" s="24"/>
      <c r="OZY91" s="24"/>
      <c r="OZZ91" s="24"/>
      <c r="PAA91" s="24"/>
      <c r="PAB91" s="24"/>
      <c r="PAC91" s="24"/>
      <c r="PAD91" s="24"/>
      <c r="PAE91" s="24"/>
      <c r="PAF91" s="24"/>
      <c r="PAG91" s="24"/>
      <c r="PAH91" s="24"/>
      <c r="PAI91" s="24"/>
      <c r="PAJ91" s="24"/>
      <c r="PAK91" s="24"/>
      <c r="PAL91" s="24"/>
      <c r="PAM91" s="24"/>
      <c r="PAN91" s="24"/>
      <c r="PAO91" s="24"/>
      <c r="PAP91" s="24"/>
      <c r="PAQ91" s="24"/>
      <c r="PAR91" s="24"/>
      <c r="PAS91" s="24"/>
      <c r="PAT91" s="24"/>
      <c r="PAU91" s="24"/>
      <c r="PAV91" s="24"/>
      <c r="PAW91" s="24"/>
      <c r="PAX91" s="24"/>
      <c r="PAY91" s="24"/>
      <c r="PAZ91" s="24"/>
      <c r="PBA91" s="24"/>
      <c r="PBB91" s="24"/>
      <c r="PBC91" s="24"/>
      <c r="PBD91" s="24"/>
      <c r="PBE91" s="24"/>
      <c r="PBF91" s="24"/>
      <c r="PBG91" s="24"/>
      <c r="PBH91" s="24"/>
      <c r="PBI91" s="24"/>
      <c r="PBJ91" s="24"/>
      <c r="PBK91" s="24"/>
      <c r="PBL91" s="24"/>
      <c r="PBM91" s="24"/>
      <c r="PBN91" s="24"/>
      <c r="PBO91" s="24"/>
      <c r="PBP91" s="24"/>
      <c r="PBQ91" s="24"/>
      <c r="PBR91" s="24"/>
      <c r="PBS91" s="24"/>
      <c r="PBT91" s="24"/>
      <c r="PBU91" s="24"/>
      <c r="PBV91" s="24"/>
      <c r="PBW91" s="24"/>
      <c r="PBX91" s="24"/>
      <c r="PBY91" s="24"/>
      <c r="PBZ91" s="24"/>
      <c r="PCA91" s="24"/>
      <c r="PCB91" s="24"/>
      <c r="PCC91" s="24"/>
      <c r="PCD91" s="24"/>
      <c r="PCE91" s="24"/>
      <c r="PCF91" s="24"/>
      <c r="PCG91" s="24"/>
      <c r="PCH91" s="24"/>
      <c r="PCI91" s="24"/>
      <c r="PCJ91" s="24"/>
      <c r="PCK91" s="24"/>
      <c r="PCL91" s="24"/>
      <c r="PCM91" s="24"/>
      <c r="PCN91" s="24"/>
      <c r="PCO91" s="24"/>
      <c r="PCP91" s="24"/>
      <c r="PCQ91" s="24"/>
      <c r="PCR91" s="24"/>
      <c r="PCS91" s="24"/>
      <c r="PCT91" s="24"/>
      <c r="PCU91" s="24"/>
      <c r="PCV91" s="24"/>
      <c r="PCW91" s="24"/>
      <c r="PCX91" s="24"/>
      <c r="PCY91" s="24"/>
      <c r="PCZ91" s="24"/>
      <c r="PDA91" s="24"/>
      <c r="PDB91" s="24"/>
      <c r="PDC91" s="24"/>
      <c r="PDD91" s="24"/>
      <c r="PDE91" s="24"/>
      <c r="PDF91" s="24"/>
      <c r="PDG91" s="24"/>
      <c r="PDH91" s="24"/>
      <c r="PDI91" s="24"/>
      <c r="PDJ91" s="24"/>
      <c r="PDK91" s="24"/>
      <c r="PDL91" s="24"/>
      <c r="PDM91" s="24"/>
      <c r="PDN91" s="24"/>
      <c r="PDO91" s="24"/>
      <c r="PDP91" s="24"/>
      <c r="PDQ91" s="24"/>
      <c r="PDR91" s="24"/>
      <c r="PDS91" s="24"/>
      <c r="PDT91" s="24"/>
      <c r="PDU91" s="24"/>
      <c r="PDV91" s="24"/>
      <c r="PDW91" s="24"/>
      <c r="PDX91" s="24"/>
      <c r="PDY91" s="24"/>
      <c r="PDZ91" s="24"/>
      <c r="PEA91" s="24"/>
      <c r="PEB91" s="24"/>
      <c r="PEC91" s="24"/>
      <c r="PED91" s="24"/>
      <c r="PEE91" s="24"/>
      <c r="PEF91" s="24"/>
      <c r="PEG91" s="24"/>
      <c r="PEH91" s="24"/>
      <c r="PEI91" s="24"/>
      <c r="PEJ91" s="24"/>
      <c r="PEK91" s="24"/>
      <c r="PEL91" s="24"/>
      <c r="PEM91" s="24"/>
      <c r="PEN91" s="24"/>
      <c r="PEO91" s="24"/>
      <c r="PEP91" s="24"/>
      <c r="PEQ91" s="24"/>
      <c r="PER91" s="24"/>
      <c r="PES91" s="24"/>
      <c r="PET91" s="24"/>
      <c r="PEU91" s="24"/>
      <c r="PEV91" s="24"/>
      <c r="PEW91" s="24"/>
      <c r="PEX91" s="24"/>
      <c r="PEY91" s="24"/>
      <c r="PEZ91" s="24"/>
      <c r="PFA91" s="24"/>
      <c r="PFB91" s="24"/>
      <c r="PFC91" s="24"/>
      <c r="PFD91" s="24"/>
      <c r="PFE91" s="24"/>
      <c r="PFF91" s="24"/>
      <c r="PFG91" s="24"/>
      <c r="PFH91" s="24"/>
      <c r="PFI91" s="24"/>
      <c r="PFJ91" s="24"/>
      <c r="PFK91" s="24"/>
      <c r="PFL91" s="24"/>
      <c r="PFM91" s="24"/>
      <c r="PFN91" s="24"/>
      <c r="PFO91" s="24"/>
      <c r="PFP91" s="24"/>
      <c r="PFQ91" s="24"/>
      <c r="PFR91" s="24"/>
      <c r="PFS91" s="24"/>
      <c r="PFT91" s="24"/>
      <c r="PFU91" s="24"/>
      <c r="PFV91" s="24"/>
      <c r="PFW91" s="24"/>
      <c r="PFX91" s="24"/>
      <c r="PFY91" s="24"/>
      <c r="PFZ91" s="24"/>
      <c r="PGA91" s="24"/>
      <c r="PGB91" s="24"/>
      <c r="PGC91" s="24"/>
      <c r="PGD91" s="24"/>
      <c r="PGE91" s="24"/>
      <c r="PGF91" s="24"/>
      <c r="PGG91" s="24"/>
      <c r="PGH91" s="24"/>
      <c r="PGI91" s="24"/>
      <c r="PGJ91" s="24"/>
      <c r="PGK91" s="24"/>
      <c r="PGL91" s="24"/>
      <c r="PGM91" s="24"/>
      <c r="PGN91" s="24"/>
      <c r="PGO91" s="24"/>
      <c r="PGP91" s="24"/>
      <c r="PGQ91" s="24"/>
      <c r="PGR91" s="24"/>
      <c r="PGS91" s="24"/>
      <c r="PGT91" s="24"/>
      <c r="PGU91" s="24"/>
      <c r="PGV91" s="24"/>
      <c r="PGW91" s="24"/>
      <c r="PGX91" s="24"/>
      <c r="PGY91" s="24"/>
      <c r="PGZ91" s="24"/>
      <c r="PHA91" s="24"/>
      <c r="PHB91" s="24"/>
      <c r="PHC91" s="24"/>
      <c r="PHD91" s="24"/>
      <c r="PHE91" s="24"/>
      <c r="PHF91" s="24"/>
      <c r="PHG91" s="24"/>
      <c r="PHH91" s="24"/>
      <c r="PHI91" s="24"/>
      <c r="PHJ91" s="24"/>
      <c r="PHK91" s="24"/>
      <c r="PHL91" s="24"/>
      <c r="PHM91" s="24"/>
      <c r="PHN91" s="24"/>
      <c r="PHO91" s="24"/>
      <c r="PHP91" s="24"/>
      <c r="PHQ91" s="24"/>
      <c r="PHR91" s="24"/>
      <c r="PHS91" s="24"/>
      <c r="PHT91" s="24"/>
      <c r="PHU91" s="24"/>
      <c r="PHV91" s="24"/>
      <c r="PHW91" s="24"/>
      <c r="PHX91" s="24"/>
      <c r="PHY91" s="24"/>
      <c r="PHZ91" s="24"/>
      <c r="PIA91" s="24"/>
      <c r="PIB91" s="24"/>
      <c r="PIC91" s="24"/>
      <c r="PID91" s="24"/>
      <c r="PIE91" s="24"/>
      <c r="PIF91" s="24"/>
      <c r="PIG91" s="24"/>
      <c r="PIH91" s="24"/>
      <c r="PII91" s="24"/>
      <c r="PIJ91" s="24"/>
      <c r="PIK91" s="24"/>
      <c r="PIL91" s="24"/>
      <c r="PIM91" s="24"/>
      <c r="PIN91" s="24"/>
      <c r="PIO91" s="24"/>
      <c r="PIP91" s="24"/>
      <c r="PIQ91" s="24"/>
      <c r="PIR91" s="24"/>
      <c r="PIS91" s="24"/>
      <c r="PIT91" s="24"/>
      <c r="PIU91" s="24"/>
      <c r="PIV91" s="24"/>
      <c r="PIW91" s="24"/>
      <c r="PIX91" s="24"/>
      <c r="PIY91" s="24"/>
      <c r="PIZ91" s="24"/>
      <c r="PJA91" s="24"/>
      <c r="PJB91" s="24"/>
      <c r="PJC91" s="24"/>
      <c r="PJD91" s="24"/>
      <c r="PJE91" s="24"/>
      <c r="PJF91" s="24"/>
      <c r="PJG91" s="24"/>
      <c r="PJH91" s="24"/>
      <c r="PJI91" s="24"/>
      <c r="PJJ91" s="24"/>
      <c r="PJK91" s="24"/>
      <c r="PJL91" s="24"/>
      <c r="PJM91" s="24"/>
      <c r="PJN91" s="24"/>
      <c r="PJO91" s="24"/>
      <c r="PJP91" s="24"/>
      <c r="PJQ91" s="24"/>
      <c r="PJR91" s="24"/>
      <c r="PJS91" s="24"/>
      <c r="PJT91" s="24"/>
      <c r="PJU91" s="24"/>
      <c r="PJV91" s="24"/>
      <c r="PJW91" s="24"/>
      <c r="PJX91" s="24"/>
      <c r="PJY91" s="24"/>
      <c r="PJZ91" s="24"/>
      <c r="PKA91" s="24"/>
      <c r="PKB91" s="24"/>
      <c r="PKC91" s="24"/>
      <c r="PKD91" s="24"/>
      <c r="PKE91" s="24"/>
      <c r="PKF91" s="24"/>
      <c r="PKG91" s="24"/>
      <c r="PKH91" s="24"/>
      <c r="PKI91" s="24"/>
      <c r="PKJ91" s="24"/>
      <c r="PKK91" s="24"/>
      <c r="PKL91" s="24"/>
      <c r="PKM91" s="24"/>
      <c r="PKN91" s="24"/>
      <c r="PKO91" s="24"/>
      <c r="PKP91" s="24"/>
      <c r="PKQ91" s="24"/>
      <c r="PKR91" s="24"/>
      <c r="PKS91" s="24"/>
      <c r="PKT91" s="24"/>
      <c r="PKU91" s="24"/>
      <c r="PKV91" s="24"/>
      <c r="PKW91" s="24"/>
      <c r="PKX91" s="24"/>
      <c r="PKY91" s="24"/>
      <c r="PKZ91" s="24"/>
      <c r="PLA91" s="24"/>
      <c r="PLB91" s="24"/>
      <c r="PLC91" s="24"/>
      <c r="PLD91" s="24"/>
      <c r="PLE91" s="24"/>
      <c r="PLF91" s="24"/>
      <c r="PLG91" s="24"/>
      <c r="PLH91" s="24"/>
      <c r="PLI91" s="24"/>
      <c r="PLJ91" s="24"/>
      <c r="PLK91" s="24"/>
      <c r="PLL91" s="24"/>
      <c r="PLM91" s="24"/>
      <c r="PLN91" s="24"/>
      <c r="PLO91" s="24"/>
      <c r="PLP91" s="24"/>
      <c r="PLQ91" s="24"/>
      <c r="PLR91" s="24"/>
      <c r="PLS91" s="24"/>
      <c r="PLT91" s="24"/>
      <c r="PLU91" s="24"/>
      <c r="PLV91" s="24"/>
      <c r="PLW91" s="24"/>
      <c r="PLX91" s="24"/>
      <c r="PLY91" s="24"/>
      <c r="PLZ91" s="24"/>
      <c r="PMA91" s="24"/>
      <c r="PMB91" s="24"/>
      <c r="PMC91" s="24"/>
      <c r="PMD91" s="24"/>
      <c r="PME91" s="24"/>
      <c r="PMF91" s="24"/>
      <c r="PMG91" s="24"/>
      <c r="PMH91" s="24"/>
      <c r="PMI91" s="24"/>
      <c r="PMJ91" s="24"/>
      <c r="PMK91" s="24"/>
      <c r="PML91" s="24"/>
      <c r="PMM91" s="24"/>
      <c r="PMN91" s="24"/>
      <c r="PMO91" s="24"/>
      <c r="PMP91" s="24"/>
      <c r="PMQ91" s="24"/>
      <c r="PMR91" s="24"/>
      <c r="PMS91" s="24"/>
      <c r="PMT91" s="24"/>
      <c r="PMU91" s="24"/>
      <c r="PMV91" s="24"/>
      <c r="PMW91" s="24"/>
      <c r="PMX91" s="24"/>
      <c r="PMY91" s="24"/>
      <c r="PMZ91" s="24"/>
      <c r="PNA91" s="24"/>
      <c r="PNB91" s="24"/>
      <c r="PNC91" s="24"/>
      <c r="PND91" s="24"/>
      <c r="PNE91" s="24"/>
      <c r="PNF91" s="24"/>
      <c r="PNG91" s="24"/>
      <c r="PNH91" s="24"/>
      <c r="PNI91" s="24"/>
      <c r="PNJ91" s="24"/>
      <c r="PNK91" s="24"/>
      <c r="PNL91" s="24"/>
      <c r="PNM91" s="24"/>
      <c r="PNN91" s="24"/>
      <c r="PNO91" s="24"/>
      <c r="PNP91" s="24"/>
      <c r="PNQ91" s="24"/>
      <c r="PNR91" s="24"/>
      <c r="PNS91" s="24"/>
      <c r="PNT91" s="24"/>
      <c r="PNU91" s="24"/>
      <c r="PNV91" s="24"/>
      <c r="PNW91" s="24"/>
      <c r="PNX91" s="24"/>
      <c r="PNY91" s="24"/>
      <c r="PNZ91" s="24"/>
      <c r="POA91" s="24"/>
      <c r="POB91" s="24"/>
      <c r="POC91" s="24"/>
      <c r="POD91" s="24"/>
      <c r="POE91" s="24"/>
      <c r="POF91" s="24"/>
      <c r="POG91" s="24"/>
      <c r="POH91" s="24"/>
      <c r="POI91" s="24"/>
      <c r="POJ91" s="24"/>
      <c r="POK91" s="24"/>
      <c r="POL91" s="24"/>
      <c r="POM91" s="24"/>
      <c r="PON91" s="24"/>
      <c r="POO91" s="24"/>
      <c r="POP91" s="24"/>
      <c r="POQ91" s="24"/>
      <c r="POR91" s="24"/>
      <c r="POS91" s="24"/>
      <c r="POT91" s="24"/>
      <c r="POU91" s="24"/>
      <c r="POV91" s="24"/>
      <c r="POW91" s="24"/>
      <c r="POX91" s="24"/>
      <c r="POY91" s="24"/>
      <c r="POZ91" s="24"/>
      <c r="PPA91" s="24"/>
      <c r="PPB91" s="24"/>
      <c r="PPC91" s="24"/>
      <c r="PPD91" s="24"/>
      <c r="PPE91" s="24"/>
      <c r="PPF91" s="24"/>
      <c r="PPG91" s="24"/>
      <c r="PPH91" s="24"/>
      <c r="PPI91" s="24"/>
      <c r="PPJ91" s="24"/>
      <c r="PPK91" s="24"/>
      <c r="PPL91" s="24"/>
      <c r="PPM91" s="24"/>
      <c r="PPN91" s="24"/>
      <c r="PPO91" s="24"/>
      <c r="PPP91" s="24"/>
      <c r="PPQ91" s="24"/>
      <c r="PPR91" s="24"/>
      <c r="PPS91" s="24"/>
      <c r="PPT91" s="24"/>
      <c r="PPU91" s="24"/>
      <c r="PPV91" s="24"/>
      <c r="PPW91" s="24"/>
      <c r="PPX91" s="24"/>
      <c r="PPY91" s="24"/>
      <c r="PPZ91" s="24"/>
      <c r="PQA91" s="24"/>
      <c r="PQB91" s="24"/>
      <c r="PQC91" s="24"/>
      <c r="PQD91" s="24"/>
      <c r="PQE91" s="24"/>
      <c r="PQF91" s="24"/>
      <c r="PQG91" s="24"/>
      <c r="PQH91" s="24"/>
      <c r="PQI91" s="24"/>
      <c r="PQJ91" s="24"/>
      <c r="PQK91" s="24"/>
      <c r="PQL91" s="24"/>
      <c r="PQM91" s="24"/>
      <c r="PQN91" s="24"/>
      <c r="PQO91" s="24"/>
      <c r="PQP91" s="24"/>
      <c r="PQQ91" s="24"/>
      <c r="PQR91" s="24"/>
      <c r="PQS91" s="24"/>
      <c r="PQT91" s="24"/>
      <c r="PQU91" s="24"/>
      <c r="PQV91" s="24"/>
      <c r="PQW91" s="24"/>
      <c r="PQX91" s="24"/>
      <c r="PQY91" s="24"/>
      <c r="PQZ91" s="24"/>
      <c r="PRA91" s="24"/>
      <c r="PRB91" s="24"/>
      <c r="PRC91" s="24"/>
      <c r="PRD91" s="24"/>
      <c r="PRE91" s="24"/>
      <c r="PRF91" s="24"/>
      <c r="PRG91" s="24"/>
      <c r="PRH91" s="24"/>
      <c r="PRI91" s="24"/>
      <c r="PRJ91" s="24"/>
      <c r="PRK91" s="24"/>
      <c r="PRL91" s="24"/>
      <c r="PRM91" s="24"/>
      <c r="PRN91" s="24"/>
      <c r="PRO91" s="24"/>
      <c r="PRP91" s="24"/>
      <c r="PRQ91" s="24"/>
      <c r="PRR91" s="24"/>
      <c r="PRS91" s="24"/>
      <c r="PRT91" s="24"/>
      <c r="PRU91" s="24"/>
      <c r="PRV91" s="24"/>
      <c r="PRW91" s="24"/>
      <c r="PRX91" s="24"/>
      <c r="PRY91" s="24"/>
      <c r="PRZ91" s="24"/>
      <c r="PSA91" s="24"/>
      <c r="PSB91" s="24"/>
      <c r="PSC91" s="24"/>
      <c r="PSD91" s="24"/>
      <c r="PSE91" s="24"/>
      <c r="PSF91" s="24"/>
      <c r="PSG91" s="24"/>
      <c r="PSH91" s="24"/>
      <c r="PSI91" s="24"/>
      <c r="PSJ91" s="24"/>
      <c r="PSK91" s="24"/>
      <c r="PSL91" s="24"/>
      <c r="PSM91" s="24"/>
      <c r="PSN91" s="24"/>
      <c r="PSO91" s="24"/>
      <c r="PSP91" s="24"/>
      <c r="PSQ91" s="24"/>
      <c r="PSR91" s="24"/>
      <c r="PSS91" s="24"/>
      <c r="PST91" s="24"/>
      <c r="PSU91" s="24"/>
      <c r="PSV91" s="24"/>
      <c r="PSW91" s="24"/>
      <c r="PSX91" s="24"/>
      <c r="PSY91" s="24"/>
      <c r="PSZ91" s="24"/>
      <c r="PTA91" s="24"/>
      <c r="PTB91" s="24"/>
      <c r="PTC91" s="24"/>
      <c r="PTD91" s="24"/>
      <c r="PTE91" s="24"/>
      <c r="PTF91" s="24"/>
      <c r="PTG91" s="24"/>
      <c r="PTH91" s="24"/>
      <c r="PTI91" s="24"/>
      <c r="PTJ91" s="24"/>
      <c r="PTK91" s="24"/>
      <c r="PTL91" s="24"/>
      <c r="PTM91" s="24"/>
      <c r="PTN91" s="24"/>
      <c r="PTO91" s="24"/>
      <c r="PTP91" s="24"/>
      <c r="PTQ91" s="24"/>
      <c r="PTR91" s="24"/>
      <c r="PTS91" s="24"/>
      <c r="PTT91" s="24"/>
      <c r="PTU91" s="24"/>
      <c r="PTV91" s="24"/>
      <c r="PTW91" s="24"/>
      <c r="PTX91" s="24"/>
      <c r="PTY91" s="24"/>
      <c r="PTZ91" s="24"/>
      <c r="PUA91" s="24"/>
      <c r="PUB91" s="24"/>
      <c r="PUC91" s="24"/>
      <c r="PUD91" s="24"/>
      <c r="PUE91" s="24"/>
      <c r="PUF91" s="24"/>
      <c r="PUG91" s="24"/>
      <c r="PUH91" s="24"/>
      <c r="PUI91" s="24"/>
      <c r="PUJ91" s="24"/>
      <c r="PUK91" s="24"/>
      <c r="PUL91" s="24"/>
      <c r="PUM91" s="24"/>
      <c r="PUN91" s="24"/>
      <c r="PUO91" s="24"/>
      <c r="PUP91" s="24"/>
      <c r="PUQ91" s="24"/>
      <c r="PUR91" s="24"/>
      <c r="PUS91" s="24"/>
      <c r="PUT91" s="24"/>
      <c r="PUU91" s="24"/>
      <c r="PUV91" s="24"/>
      <c r="PUW91" s="24"/>
      <c r="PUX91" s="24"/>
      <c r="PUY91" s="24"/>
      <c r="PUZ91" s="24"/>
      <c r="PVA91" s="24"/>
      <c r="PVB91" s="24"/>
      <c r="PVC91" s="24"/>
      <c r="PVD91" s="24"/>
      <c r="PVE91" s="24"/>
      <c r="PVF91" s="24"/>
      <c r="PVG91" s="24"/>
      <c r="PVH91" s="24"/>
      <c r="PVI91" s="24"/>
      <c r="PVJ91" s="24"/>
      <c r="PVK91" s="24"/>
      <c r="PVL91" s="24"/>
      <c r="PVM91" s="24"/>
      <c r="PVN91" s="24"/>
      <c r="PVO91" s="24"/>
      <c r="PVP91" s="24"/>
      <c r="PVQ91" s="24"/>
      <c r="PVR91" s="24"/>
      <c r="PVS91" s="24"/>
      <c r="PVT91" s="24"/>
      <c r="PVU91" s="24"/>
      <c r="PVV91" s="24"/>
      <c r="PVW91" s="24"/>
      <c r="PVX91" s="24"/>
      <c r="PVY91" s="24"/>
      <c r="PVZ91" s="24"/>
      <c r="PWA91" s="24"/>
      <c r="PWB91" s="24"/>
      <c r="PWC91" s="24"/>
      <c r="PWD91" s="24"/>
      <c r="PWE91" s="24"/>
      <c r="PWF91" s="24"/>
      <c r="PWG91" s="24"/>
      <c r="PWH91" s="24"/>
      <c r="PWI91" s="24"/>
      <c r="PWJ91" s="24"/>
      <c r="PWK91" s="24"/>
      <c r="PWL91" s="24"/>
      <c r="PWM91" s="24"/>
      <c r="PWN91" s="24"/>
      <c r="PWO91" s="24"/>
      <c r="PWP91" s="24"/>
      <c r="PWQ91" s="24"/>
      <c r="PWR91" s="24"/>
      <c r="PWS91" s="24"/>
      <c r="PWT91" s="24"/>
      <c r="PWU91" s="24"/>
      <c r="PWV91" s="24"/>
      <c r="PWW91" s="24"/>
      <c r="PWX91" s="24"/>
      <c r="PWY91" s="24"/>
      <c r="PWZ91" s="24"/>
      <c r="PXA91" s="24"/>
      <c r="PXB91" s="24"/>
      <c r="PXC91" s="24"/>
      <c r="PXD91" s="24"/>
      <c r="PXE91" s="24"/>
      <c r="PXF91" s="24"/>
      <c r="PXG91" s="24"/>
      <c r="PXH91" s="24"/>
      <c r="PXI91" s="24"/>
      <c r="PXJ91" s="24"/>
      <c r="PXK91" s="24"/>
      <c r="PXL91" s="24"/>
      <c r="PXM91" s="24"/>
      <c r="PXN91" s="24"/>
      <c r="PXO91" s="24"/>
      <c r="PXP91" s="24"/>
      <c r="PXQ91" s="24"/>
      <c r="PXR91" s="24"/>
      <c r="PXS91" s="24"/>
      <c r="PXT91" s="24"/>
      <c r="PXU91" s="24"/>
      <c r="PXV91" s="24"/>
      <c r="PXW91" s="24"/>
      <c r="PXX91" s="24"/>
      <c r="PXY91" s="24"/>
      <c r="PXZ91" s="24"/>
      <c r="PYA91" s="24"/>
      <c r="PYB91" s="24"/>
      <c r="PYC91" s="24"/>
      <c r="PYD91" s="24"/>
      <c r="PYE91" s="24"/>
      <c r="PYF91" s="24"/>
      <c r="PYG91" s="24"/>
      <c r="PYH91" s="24"/>
      <c r="PYI91" s="24"/>
      <c r="PYJ91" s="24"/>
      <c r="PYK91" s="24"/>
      <c r="PYL91" s="24"/>
      <c r="PYM91" s="24"/>
      <c r="PYN91" s="24"/>
      <c r="PYO91" s="24"/>
      <c r="PYP91" s="24"/>
      <c r="PYQ91" s="24"/>
      <c r="PYR91" s="24"/>
      <c r="PYS91" s="24"/>
      <c r="PYT91" s="24"/>
      <c r="PYU91" s="24"/>
      <c r="PYV91" s="24"/>
      <c r="PYW91" s="24"/>
      <c r="PYX91" s="24"/>
      <c r="PYY91" s="24"/>
      <c r="PYZ91" s="24"/>
      <c r="PZA91" s="24"/>
      <c r="PZB91" s="24"/>
      <c r="PZC91" s="24"/>
      <c r="PZD91" s="24"/>
      <c r="PZE91" s="24"/>
      <c r="PZF91" s="24"/>
      <c r="PZG91" s="24"/>
      <c r="PZH91" s="24"/>
      <c r="PZI91" s="24"/>
      <c r="PZJ91" s="24"/>
      <c r="PZK91" s="24"/>
      <c r="PZL91" s="24"/>
      <c r="PZM91" s="24"/>
      <c r="PZN91" s="24"/>
      <c r="PZO91" s="24"/>
      <c r="PZP91" s="24"/>
      <c r="PZQ91" s="24"/>
      <c r="PZR91" s="24"/>
      <c r="PZS91" s="24"/>
      <c r="PZT91" s="24"/>
      <c r="PZU91" s="24"/>
      <c r="PZV91" s="24"/>
      <c r="PZW91" s="24"/>
      <c r="PZX91" s="24"/>
      <c r="PZY91" s="24"/>
      <c r="PZZ91" s="24"/>
      <c r="QAA91" s="24"/>
      <c r="QAB91" s="24"/>
      <c r="QAC91" s="24"/>
      <c r="QAD91" s="24"/>
      <c r="QAE91" s="24"/>
      <c r="QAF91" s="24"/>
      <c r="QAG91" s="24"/>
      <c r="QAH91" s="24"/>
      <c r="QAI91" s="24"/>
      <c r="QAJ91" s="24"/>
      <c r="QAK91" s="24"/>
      <c r="QAL91" s="24"/>
      <c r="QAM91" s="24"/>
      <c r="QAN91" s="24"/>
      <c r="QAO91" s="24"/>
      <c r="QAP91" s="24"/>
      <c r="QAQ91" s="24"/>
      <c r="QAR91" s="24"/>
      <c r="QAS91" s="24"/>
      <c r="QAT91" s="24"/>
      <c r="QAU91" s="24"/>
      <c r="QAV91" s="24"/>
      <c r="QAW91" s="24"/>
      <c r="QAX91" s="24"/>
      <c r="QAY91" s="24"/>
      <c r="QAZ91" s="24"/>
      <c r="QBA91" s="24"/>
      <c r="QBB91" s="24"/>
      <c r="QBC91" s="24"/>
      <c r="QBD91" s="24"/>
      <c r="QBE91" s="24"/>
      <c r="QBF91" s="24"/>
      <c r="QBG91" s="24"/>
      <c r="QBH91" s="24"/>
      <c r="QBI91" s="24"/>
      <c r="QBJ91" s="24"/>
      <c r="QBK91" s="24"/>
      <c r="QBL91" s="24"/>
      <c r="QBM91" s="24"/>
      <c r="QBN91" s="24"/>
      <c r="QBO91" s="24"/>
      <c r="QBP91" s="24"/>
      <c r="QBQ91" s="24"/>
      <c r="QBR91" s="24"/>
      <c r="QBS91" s="24"/>
      <c r="QBT91" s="24"/>
      <c r="QBU91" s="24"/>
      <c r="QBV91" s="24"/>
      <c r="QBW91" s="24"/>
      <c r="QBX91" s="24"/>
      <c r="QBY91" s="24"/>
      <c r="QBZ91" s="24"/>
      <c r="QCA91" s="24"/>
      <c r="QCB91" s="24"/>
      <c r="QCC91" s="24"/>
      <c r="QCD91" s="24"/>
      <c r="QCE91" s="24"/>
      <c r="QCF91" s="24"/>
      <c r="QCG91" s="24"/>
      <c r="QCH91" s="24"/>
      <c r="QCI91" s="24"/>
      <c r="QCJ91" s="24"/>
      <c r="QCK91" s="24"/>
      <c r="QCL91" s="24"/>
      <c r="QCM91" s="24"/>
      <c r="QCN91" s="24"/>
      <c r="QCO91" s="24"/>
      <c r="QCP91" s="24"/>
      <c r="QCQ91" s="24"/>
      <c r="QCR91" s="24"/>
      <c r="QCS91" s="24"/>
      <c r="QCT91" s="24"/>
      <c r="QCU91" s="24"/>
      <c r="QCV91" s="24"/>
      <c r="QCW91" s="24"/>
      <c r="QCX91" s="24"/>
      <c r="QCY91" s="24"/>
      <c r="QCZ91" s="24"/>
      <c r="QDA91" s="24"/>
      <c r="QDB91" s="24"/>
      <c r="QDC91" s="24"/>
      <c r="QDD91" s="24"/>
      <c r="QDE91" s="24"/>
      <c r="QDF91" s="24"/>
      <c r="QDG91" s="24"/>
      <c r="QDH91" s="24"/>
      <c r="QDI91" s="24"/>
      <c r="QDJ91" s="24"/>
      <c r="QDK91" s="24"/>
      <c r="QDL91" s="24"/>
      <c r="QDM91" s="24"/>
      <c r="QDN91" s="24"/>
      <c r="QDO91" s="24"/>
      <c r="QDP91" s="24"/>
      <c r="QDQ91" s="24"/>
      <c r="QDR91" s="24"/>
      <c r="QDS91" s="24"/>
      <c r="QDT91" s="24"/>
      <c r="QDU91" s="24"/>
      <c r="QDV91" s="24"/>
      <c r="QDW91" s="24"/>
      <c r="QDX91" s="24"/>
      <c r="QDY91" s="24"/>
      <c r="QDZ91" s="24"/>
      <c r="QEA91" s="24"/>
      <c r="QEB91" s="24"/>
      <c r="QEC91" s="24"/>
      <c r="QED91" s="24"/>
      <c r="QEE91" s="24"/>
      <c r="QEF91" s="24"/>
      <c r="QEG91" s="24"/>
      <c r="QEH91" s="24"/>
      <c r="QEI91" s="24"/>
      <c r="QEJ91" s="24"/>
      <c r="QEK91" s="24"/>
      <c r="QEL91" s="24"/>
      <c r="QEM91" s="24"/>
      <c r="QEN91" s="24"/>
      <c r="QEO91" s="24"/>
      <c r="QEP91" s="24"/>
      <c r="QEQ91" s="24"/>
      <c r="QER91" s="24"/>
      <c r="QES91" s="24"/>
      <c r="QET91" s="24"/>
      <c r="QEU91" s="24"/>
      <c r="QEV91" s="24"/>
      <c r="QEW91" s="24"/>
      <c r="QEX91" s="24"/>
      <c r="QEY91" s="24"/>
      <c r="QEZ91" s="24"/>
      <c r="QFA91" s="24"/>
      <c r="QFB91" s="24"/>
      <c r="QFC91" s="24"/>
      <c r="QFD91" s="24"/>
      <c r="QFE91" s="24"/>
      <c r="QFF91" s="24"/>
      <c r="QFG91" s="24"/>
      <c r="QFH91" s="24"/>
      <c r="QFI91" s="24"/>
      <c r="QFJ91" s="24"/>
      <c r="QFK91" s="24"/>
      <c r="QFL91" s="24"/>
      <c r="QFM91" s="24"/>
      <c r="QFN91" s="24"/>
      <c r="QFO91" s="24"/>
      <c r="QFP91" s="24"/>
      <c r="QFQ91" s="24"/>
      <c r="QFR91" s="24"/>
      <c r="QFS91" s="24"/>
      <c r="QFT91" s="24"/>
      <c r="QFU91" s="24"/>
      <c r="QFV91" s="24"/>
      <c r="QFW91" s="24"/>
      <c r="QFX91" s="24"/>
      <c r="QFY91" s="24"/>
      <c r="QFZ91" s="24"/>
      <c r="QGA91" s="24"/>
      <c r="QGB91" s="24"/>
      <c r="QGC91" s="24"/>
      <c r="QGD91" s="24"/>
      <c r="QGE91" s="24"/>
      <c r="QGF91" s="24"/>
      <c r="QGG91" s="24"/>
      <c r="QGH91" s="24"/>
      <c r="QGI91" s="24"/>
      <c r="QGJ91" s="24"/>
      <c r="QGK91" s="24"/>
      <c r="QGL91" s="24"/>
      <c r="QGM91" s="24"/>
      <c r="QGN91" s="24"/>
      <c r="QGO91" s="24"/>
      <c r="QGP91" s="24"/>
      <c r="QGQ91" s="24"/>
      <c r="QGR91" s="24"/>
      <c r="QGS91" s="24"/>
      <c r="QGT91" s="24"/>
      <c r="QGU91" s="24"/>
      <c r="QGV91" s="24"/>
      <c r="QGW91" s="24"/>
      <c r="QGX91" s="24"/>
      <c r="QGY91" s="24"/>
      <c r="QGZ91" s="24"/>
      <c r="QHA91" s="24"/>
      <c r="QHB91" s="24"/>
      <c r="QHC91" s="24"/>
      <c r="QHD91" s="24"/>
      <c r="QHE91" s="24"/>
      <c r="QHF91" s="24"/>
      <c r="QHG91" s="24"/>
      <c r="QHH91" s="24"/>
      <c r="QHI91" s="24"/>
      <c r="QHJ91" s="24"/>
      <c r="QHK91" s="24"/>
      <c r="QHL91" s="24"/>
      <c r="QHM91" s="24"/>
      <c r="QHN91" s="24"/>
      <c r="QHO91" s="24"/>
      <c r="QHP91" s="24"/>
      <c r="QHQ91" s="24"/>
      <c r="QHR91" s="24"/>
      <c r="QHS91" s="24"/>
      <c r="QHT91" s="24"/>
      <c r="QHU91" s="24"/>
      <c r="QHV91" s="24"/>
      <c r="QHW91" s="24"/>
      <c r="QHX91" s="24"/>
      <c r="QHY91" s="24"/>
      <c r="QHZ91" s="24"/>
      <c r="QIA91" s="24"/>
      <c r="QIB91" s="24"/>
      <c r="QIC91" s="24"/>
      <c r="QID91" s="24"/>
      <c r="QIE91" s="24"/>
      <c r="QIF91" s="24"/>
      <c r="QIG91" s="24"/>
      <c r="QIH91" s="24"/>
      <c r="QII91" s="24"/>
      <c r="QIJ91" s="24"/>
      <c r="QIK91" s="24"/>
      <c r="QIL91" s="24"/>
      <c r="QIM91" s="24"/>
      <c r="QIN91" s="24"/>
      <c r="QIO91" s="24"/>
      <c r="QIP91" s="24"/>
      <c r="QIQ91" s="24"/>
      <c r="QIR91" s="24"/>
      <c r="QIS91" s="24"/>
      <c r="QIT91" s="24"/>
      <c r="QIU91" s="24"/>
      <c r="QIV91" s="24"/>
      <c r="QIW91" s="24"/>
      <c r="QIX91" s="24"/>
      <c r="QIY91" s="24"/>
      <c r="QIZ91" s="24"/>
      <c r="QJA91" s="24"/>
      <c r="QJB91" s="24"/>
      <c r="QJC91" s="24"/>
      <c r="QJD91" s="24"/>
      <c r="QJE91" s="24"/>
      <c r="QJF91" s="24"/>
      <c r="QJG91" s="24"/>
      <c r="QJH91" s="24"/>
      <c r="QJI91" s="24"/>
      <c r="QJJ91" s="24"/>
      <c r="QJK91" s="24"/>
      <c r="QJL91" s="24"/>
      <c r="QJM91" s="24"/>
      <c r="QJN91" s="24"/>
      <c r="QJO91" s="24"/>
      <c r="QJP91" s="24"/>
      <c r="QJQ91" s="24"/>
      <c r="QJR91" s="24"/>
      <c r="QJS91" s="24"/>
      <c r="QJT91" s="24"/>
      <c r="QJU91" s="24"/>
      <c r="QJV91" s="24"/>
      <c r="QJW91" s="24"/>
      <c r="QJX91" s="24"/>
      <c r="QJY91" s="24"/>
      <c r="QJZ91" s="24"/>
      <c r="QKA91" s="24"/>
      <c r="QKB91" s="24"/>
      <c r="QKC91" s="24"/>
      <c r="QKD91" s="24"/>
      <c r="QKE91" s="24"/>
      <c r="QKF91" s="24"/>
      <c r="QKG91" s="24"/>
      <c r="QKH91" s="24"/>
      <c r="QKI91" s="24"/>
      <c r="QKJ91" s="24"/>
      <c r="QKK91" s="24"/>
      <c r="QKL91" s="24"/>
      <c r="QKM91" s="24"/>
      <c r="QKN91" s="24"/>
      <c r="QKO91" s="24"/>
      <c r="QKP91" s="24"/>
      <c r="QKQ91" s="24"/>
      <c r="QKR91" s="24"/>
      <c r="QKS91" s="24"/>
      <c r="QKT91" s="24"/>
      <c r="QKU91" s="24"/>
      <c r="QKV91" s="24"/>
      <c r="QKW91" s="24"/>
      <c r="QKX91" s="24"/>
      <c r="QKY91" s="24"/>
      <c r="QKZ91" s="24"/>
      <c r="QLA91" s="24"/>
      <c r="QLB91" s="24"/>
      <c r="QLC91" s="24"/>
      <c r="QLD91" s="24"/>
      <c r="QLE91" s="24"/>
      <c r="QLF91" s="24"/>
      <c r="QLG91" s="24"/>
      <c r="QLH91" s="24"/>
      <c r="QLI91" s="24"/>
      <c r="QLJ91" s="24"/>
      <c r="QLK91" s="24"/>
      <c r="QLL91" s="24"/>
      <c r="QLM91" s="24"/>
      <c r="QLN91" s="24"/>
      <c r="QLO91" s="24"/>
      <c r="QLP91" s="24"/>
      <c r="QLQ91" s="24"/>
      <c r="QLR91" s="24"/>
      <c r="QLS91" s="24"/>
      <c r="QLT91" s="24"/>
      <c r="QLU91" s="24"/>
      <c r="QLV91" s="24"/>
      <c r="QLW91" s="24"/>
      <c r="QLX91" s="24"/>
      <c r="QLY91" s="24"/>
      <c r="QLZ91" s="24"/>
      <c r="QMA91" s="24"/>
      <c r="QMB91" s="24"/>
      <c r="QMC91" s="24"/>
      <c r="QMD91" s="24"/>
      <c r="QME91" s="24"/>
      <c r="QMF91" s="24"/>
      <c r="QMG91" s="24"/>
      <c r="QMH91" s="24"/>
      <c r="QMI91" s="24"/>
      <c r="QMJ91" s="24"/>
      <c r="QMK91" s="24"/>
      <c r="QML91" s="24"/>
      <c r="QMM91" s="24"/>
      <c r="QMN91" s="24"/>
      <c r="QMO91" s="24"/>
      <c r="QMP91" s="24"/>
      <c r="QMQ91" s="24"/>
      <c r="QMR91" s="24"/>
      <c r="QMS91" s="24"/>
      <c r="QMT91" s="24"/>
      <c r="QMU91" s="24"/>
      <c r="QMV91" s="24"/>
      <c r="QMW91" s="24"/>
      <c r="QMX91" s="24"/>
      <c r="QMY91" s="24"/>
      <c r="QMZ91" s="24"/>
      <c r="QNA91" s="24"/>
      <c r="QNB91" s="24"/>
      <c r="QNC91" s="24"/>
      <c r="QND91" s="24"/>
      <c r="QNE91" s="24"/>
      <c r="QNF91" s="24"/>
      <c r="QNG91" s="24"/>
      <c r="QNH91" s="24"/>
      <c r="QNI91" s="24"/>
      <c r="QNJ91" s="24"/>
      <c r="QNK91" s="24"/>
      <c r="QNL91" s="24"/>
      <c r="QNM91" s="24"/>
      <c r="QNN91" s="24"/>
      <c r="QNO91" s="24"/>
      <c r="QNP91" s="24"/>
      <c r="QNQ91" s="24"/>
      <c r="QNR91" s="24"/>
      <c r="QNS91" s="24"/>
      <c r="QNT91" s="24"/>
      <c r="QNU91" s="24"/>
      <c r="QNV91" s="24"/>
      <c r="QNW91" s="24"/>
      <c r="QNX91" s="24"/>
      <c r="QNY91" s="24"/>
      <c r="QNZ91" s="24"/>
      <c r="QOA91" s="24"/>
      <c r="QOB91" s="24"/>
      <c r="QOC91" s="24"/>
      <c r="QOD91" s="24"/>
      <c r="QOE91" s="24"/>
      <c r="QOF91" s="24"/>
      <c r="QOG91" s="24"/>
      <c r="QOH91" s="24"/>
      <c r="QOI91" s="24"/>
      <c r="QOJ91" s="24"/>
      <c r="QOK91" s="24"/>
      <c r="QOL91" s="24"/>
      <c r="QOM91" s="24"/>
      <c r="QON91" s="24"/>
      <c r="QOO91" s="24"/>
      <c r="QOP91" s="24"/>
      <c r="QOQ91" s="24"/>
      <c r="QOR91" s="24"/>
      <c r="QOS91" s="24"/>
      <c r="QOT91" s="24"/>
      <c r="QOU91" s="24"/>
      <c r="QOV91" s="24"/>
      <c r="QOW91" s="24"/>
      <c r="QOX91" s="24"/>
      <c r="QOY91" s="24"/>
      <c r="QOZ91" s="24"/>
      <c r="QPA91" s="24"/>
      <c r="QPB91" s="24"/>
      <c r="QPC91" s="24"/>
      <c r="QPD91" s="24"/>
      <c r="QPE91" s="24"/>
      <c r="QPF91" s="24"/>
      <c r="QPG91" s="24"/>
      <c r="QPH91" s="24"/>
      <c r="QPI91" s="24"/>
      <c r="QPJ91" s="24"/>
      <c r="QPK91" s="24"/>
      <c r="QPL91" s="24"/>
      <c r="QPM91" s="24"/>
      <c r="QPN91" s="24"/>
      <c r="QPO91" s="24"/>
      <c r="QPP91" s="24"/>
      <c r="QPQ91" s="24"/>
      <c r="QPR91" s="24"/>
      <c r="QPS91" s="24"/>
      <c r="QPT91" s="24"/>
      <c r="QPU91" s="24"/>
      <c r="QPV91" s="24"/>
      <c r="QPW91" s="24"/>
      <c r="QPX91" s="24"/>
      <c r="QPY91" s="24"/>
      <c r="QPZ91" s="24"/>
      <c r="QQA91" s="24"/>
      <c r="QQB91" s="24"/>
      <c r="QQC91" s="24"/>
      <c r="QQD91" s="24"/>
      <c r="QQE91" s="24"/>
      <c r="QQF91" s="24"/>
      <c r="QQG91" s="24"/>
      <c r="QQH91" s="24"/>
      <c r="QQI91" s="24"/>
      <c r="QQJ91" s="24"/>
      <c r="QQK91" s="24"/>
      <c r="QQL91" s="24"/>
      <c r="QQM91" s="24"/>
      <c r="QQN91" s="24"/>
      <c r="QQO91" s="24"/>
      <c r="QQP91" s="24"/>
      <c r="QQQ91" s="24"/>
      <c r="QQR91" s="24"/>
      <c r="QQS91" s="24"/>
      <c r="QQT91" s="24"/>
      <c r="QQU91" s="24"/>
      <c r="QQV91" s="24"/>
      <c r="QQW91" s="24"/>
      <c r="QQX91" s="24"/>
      <c r="QQY91" s="24"/>
      <c r="QQZ91" s="24"/>
      <c r="QRA91" s="24"/>
      <c r="QRB91" s="24"/>
      <c r="QRC91" s="24"/>
      <c r="QRD91" s="24"/>
      <c r="QRE91" s="24"/>
      <c r="QRF91" s="24"/>
      <c r="QRG91" s="24"/>
      <c r="QRH91" s="24"/>
      <c r="QRI91" s="24"/>
      <c r="QRJ91" s="24"/>
      <c r="QRK91" s="24"/>
      <c r="QRL91" s="24"/>
      <c r="QRM91" s="24"/>
      <c r="QRN91" s="24"/>
      <c r="QRO91" s="24"/>
      <c r="QRP91" s="24"/>
      <c r="QRQ91" s="24"/>
      <c r="QRR91" s="24"/>
      <c r="QRS91" s="24"/>
      <c r="QRT91" s="24"/>
      <c r="QRU91" s="24"/>
      <c r="QRV91" s="24"/>
      <c r="QRW91" s="24"/>
      <c r="QRX91" s="24"/>
      <c r="QRY91" s="24"/>
      <c r="QRZ91" s="24"/>
      <c r="QSA91" s="24"/>
      <c r="QSB91" s="24"/>
      <c r="QSC91" s="24"/>
      <c r="QSD91" s="24"/>
      <c r="QSE91" s="24"/>
      <c r="QSF91" s="24"/>
      <c r="QSG91" s="24"/>
      <c r="QSH91" s="24"/>
      <c r="QSI91" s="24"/>
      <c r="QSJ91" s="24"/>
      <c r="QSK91" s="24"/>
      <c r="QSL91" s="24"/>
      <c r="QSM91" s="24"/>
      <c r="QSN91" s="24"/>
      <c r="QSO91" s="24"/>
      <c r="QSP91" s="24"/>
      <c r="QSQ91" s="24"/>
      <c r="QSR91" s="24"/>
      <c r="QSS91" s="24"/>
      <c r="QST91" s="24"/>
      <c r="QSU91" s="24"/>
      <c r="QSV91" s="24"/>
      <c r="QSW91" s="24"/>
      <c r="QSX91" s="24"/>
      <c r="QSY91" s="24"/>
      <c r="QSZ91" s="24"/>
      <c r="QTA91" s="24"/>
      <c r="QTB91" s="24"/>
      <c r="QTC91" s="24"/>
      <c r="QTD91" s="24"/>
      <c r="QTE91" s="24"/>
      <c r="QTF91" s="24"/>
      <c r="QTG91" s="24"/>
      <c r="QTH91" s="24"/>
      <c r="QTI91" s="24"/>
      <c r="QTJ91" s="24"/>
      <c r="QTK91" s="24"/>
      <c r="QTL91" s="24"/>
      <c r="QTM91" s="24"/>
      <c r="QTN91" s="24"/>
      <c r="QTO91" s="24"/>
      <c r="QTP91" s="24"/>
      <c r="QTQ91" s="24"/>
      <c r="QTR91" s="24"/>
      <c r="QTS91" s="24"/>
      <c r="QTT91" s="24"/>
      <c r="QTU91" s="24"/>
      <c r="QTV91" s="24"/>
      <c r="QTW91" s="24"/>
      <c r="QTX91" s="24"/>
      <c r="QTY91" s="24"/>
      <c r="QTZ91" s="24"/>
      <c r="QUA91" s="24"/>
      <c r="QUB91" s="24"/>
      <c r="QUC91" s="24"/>
      <c r="QUD91" s="24"/>
      <c r="QUE91" s="24"/>
      <c r="QUF91" s="24"/>
      <c r="QUG91" s="24"/>
      <c r="QUH91" s="24"/>
      <c r="QUI91" s="24"/>
      <c r="QUJ91" s="24"/>
      <c r="QUK91" s="24"/>
      <c r="QUL91" s="24"/>
      <c r="QUM91" s="24"/>
      <c r="QUN91" s="24"/>
      <c r="QUO91" s="24"/>
      <c r="QUP91" s="24"/>
      <c r="QUQ91" s="24"/>
      <c r="QUR91" s="24"/>
      <c r="QUS91" s="24"/>
      <c r="QUT91" s="24"/>
      <c r="QUU91" s="24"/>
      <c r="QUV91" s="24"/>
      <c r="QUW91" s="24"/>
      <c r="QUX91" s="24"/>
      <c r="QUY91" s="24"/>
      <c r="QUZ91" s="24"/>
      <c r="QVA91" s="24"/>
      <c r="QVB91" s="24"/>
      <c r="QVC91" s="24"/>
      <c r="QVD91" s="24"/>
      <c r="QVE91" s="24"/>
      <c r="QVF91" s="24"/>
      <c r="QVG91" s="24"/>
      <c r="QVH91" s="24"/>
      <c r="QVI91" s="24"/>
      <c r="QVJ91" s="24"/>
      <c r="QVK91" s="24"/>
      <c r="QVL91" s="24"/>
      <c r="QVM91" s="24"/>
      <c r="QVN91" s="24"/>
      <c r="QVO91" s="24"/>
      <c r="QVP91" s="24"/>
      <c r="QVQ91" s="24"/>
      <c r="QVR91" s="24"/>
      <c r="QVS91" s="24"/>
      <c r="QVT91" s="24"/>
      <c r="QVU91" s="24"/>
      <c r="QVV91" s="24"/>
      <c r="QVW91" s="24"/>
      <c r="QVX91" s="24"/>
      <c r="QVY91" s="24"/>
      <c r="QVZ91" s="24"/>
      <c r="QWA91" s="24"/>
      <c r="QWB91" s="24"/>
      <c r="QWC91" s="24"/>
      <c r="QWD91" s="24"/>
      <c r="QWE91" s="24"/>
      <c r="QWF91" s="24"/>
      <c r="QWG91" s="24"/>
      <c r="QWH91" s="24"/>
      <c r="QWI91" s="24"/>
      <c r="QWJ91" s="24"/>
      <c r="QWK91" s="24"/>
      <c r="QWL91" s="24"/>
      <c r="QWM91" s="24"/>
      <c r="QWN91" s="24"/>
      <c r="QWO91" s="24"/>
      <c r="QWP91" s="24"/>
      <c r="QWQ91" s="24"/>
      <c r="QWR91" s="24"/>
      <c r="QWS91" s="24"/>
      <c r="QWT91" s="24"/>
      <c r="QWU91" s="24"/>
      <c r="QWV91" s="24"/>
      <c r="QWW91" s="24"/>
      <c r="QWX91" s="24"/>
      <c r="QWY91" s="24"/>
      <c r="QWZ91" s="24"/>
      <c r="QXA91" s="24"/>
      <c r="QXB91" s="24"/>
      <c r="QXC91" s="24"/>
      <c r="QXD91" s="24"/>
      <c r="QXE91" s="24"/>
      <c r="QXF91" s="24"/>
      <c r="QXG91" s="24"/>
      <c r="QXH91" s="24"/>
      <c r="QXI91" s="24"/>
      <c r="QXJ91" s="24"/>
      <c r="QXK91" s="24"/>
      <c r="QXL91" s="24"/>
      <c r="QXM91" s="24"/>
      <c r="QXN91" s="24"/>
      <c r="QXO91" s="24"/>
      <c r="QXP91" s="24"/>
      <c r="QXQ91" s="24"/>
      <c r="QXR91" s="24"/>
      <c r="QXS91" s="24"/>
      <c r="QXT91" s="24"/>
      <c r="QXU91" s="24"/>
      <c r="QXV91" s="24"/>
      <c r="QXW91" s="24"/>
      <c r="QXX91" s="24"/>
      <c r="QXY91" s="24"/>
      <c r="QXZ91" s="24"/>
      <c r="QYA91" s="24"/>
      <c r="QYB91" s="24"/>
      <c r="QYC91" s="24"/>
      <c r="QYD91" s="24"/>
      <c r="QYE91" s="24"/>
      <c r="QYF91" s="24"/>
      <c r="QYG91" s="24"/>
      <c r="QYH91" s="24"/>
      <c r="QYI91" s="24"/>
      <c r="QYJ91" s="24"/>
      <c r="QYK91" s="24"/>
      <c r="QYL91" s="24"/>
      <c r="QYM91" s="24"/>
      <c r="QYN91" s="24"/>
      <c r="QYO91" s="24"/>
      <c r="QYP91" s="24"/>
      <c r="QYQ91" s="24"/>
      <c r="QYR91" s="24"/>
      <c r="QYS91" s="24"/>
      <c r="QYT91" s="24"/>
      <c r="QYU91" s="24"/>
      <c r="QYV91" s="24"/>
      <c r="QYW91" s="24"/>
      <c r="QYX91" s="24"/>
      <c r="QYY91" s="24"/>
      <c r="QYZ91" s="24"/>
      <c r="QZA91" s="24"/>
      <c r="QZB91" s="24"/>
      <c r="QZC91" s="24"/>
      <c r="QZD91" s="24"/>
      <c r="QZE91" s="24"/>
      <c r="QZF91" s="24"/>
      <c r="QZG91" s="24"/>
      <c r="QZH91" s="24"/>
      <c r="QZI91" s="24"/>
      <c r="QZJ91" s="24"/>
      <c r="QZK91" s="24"/>
      <c r="QZL91" s="24"/>
      <c r="QZM91" s="24"/>
      <c r="QZN91" s="24"/>
      <c r="QZO91" s="24"/>
      <c r="QZP91" s="24"/>
      <c r="QZQ91" s="24"/>
      <c r="QZR91" s="24"/>
      <c r="QZS91" s="24"/>
      <c r="QZT91" s="24"/>
      <c r="QZU91" s="24"/>
      <c r="QZV91" s="24"/>
      <c r="QZW91" s="24"/>
      <c r="QZX91" s="24"/>
      <c r="QZY91" s="24"/>
      <c r="QZZ91" s="24"/>
      <c r="RAA91" s="24"/>
      <c r="RAB91" s="24"/>
      <c r="RAC91" s="24"/>
      <c r="RAD91" s="24"/>
      <c r="RAE91" s="24"/>
      <c r="RAF91" s="24"/>
      <c r="RAG91" s="24"/>
      <c r="RAH91" s="24"/>
      <c r="RAI91" s="24"/>
      <c r="RAJ91" s="24"/>
      <c r="RAK91" s="24"/>
      <c r="RAL91" s="24"/>
      <c r="RAM91" s="24"/>
      <c r="RAN91" s="24"/>
      <c r="RAO91" s="24"/>
      <c r="RAP91" s="24"/>
      <c r="RAQ91" s="24"/>
      <c r="RAR91" s="24"/>
      <c r="RAS91" s="24"/>
      <c r="RAT91" s="24"/>
      <c r="RAU91" s="24"/>
      <c r="RAV91" s="24"/>
      <c r="RAW91" s="24"/>
      <c r="RAX91" s="24"/>
      <c r="RAY91" s="24"/>
      <c r="RAZ91" s="24"/>
      <c r="RBA91" s="24"/>
      <c r="RBB91" s="24"/>
      <c r="RBC91" s="24"/>
      <c r="RBD91" s="24"/>
      <c r="RBE91" s="24"/>
      <c r="RBF91" s="24"/>
      <c r="RBG91" s="24"/>
      <c r="RBH91" s="24"/>
      <c r="RBI91" s="24"/>
      <c r="RBJ91" s="24"/>
      <c r="RBK91" s="24"/>
      <c r="RBL91" s="24"/>
      <c r="RBM91" s="24"/>
      <c r="RBN91" s="24"/>
      <c r="RBO91" s="24"/>
      <c r="RBP91" s="24"/>
      <c r="RBQ91" s="24"/>
      <c r="RBR91" s="24"/>
      <c r="RBS91" s="24"/>
      <c r="RBT91" s="24"/>
      <c r="RBU91" s="24"/>
      <c r="RBV91" s="24"/>
      <c r="RBW91" s="24"/>
      <c r="RBX91" s="24"/>
      <c r="RBY91" s="24"/>
      <c r="RBZ91" s="24"/>
      <c r="RCA91" s="24"/>
      <c r="RCB91" s="24"/>
      <c r="RCC91" s="24"/>
      <c r="RCD91" s="24"/>
      <c r="RCE91" s="24"/>
      <c r="RCF91" s="24"/>
      <c r="RCG91" s="24"/>
      <c r="RCH91" s="24"/>
      <c r="RCI91" s="24"/>
      <c r="RCJ91" s="24"/>
      <c r="RCK91" s="24"/>
      <c r="RCL91" s="24"/>
      <c r="RCM91" s="24"/>
      <c r="RCN91" s="24"/>
      <c r="RCO91" s="24"/>
      <c r="RCP91" s="24"/>
      <c r="RCQ91" s="24"/>
      <c r="RCR91" s="24"/>
      <c r="RCS91" s="24"/>
      <c r="RCT91" s="24"/>
      <c r="RCU91" s="24"/>
      <c r="RCV91" s="24"/>
      <c r="RCW91" s="24"/>
      <c r="RCX91" s="24"/>
      <c r="RCY91" s="24"/>
      <c r="RCZ91" s="24"/>
      <c r="RDA91" s="24"/>
      <c r="RDB91" s="24"/>
      <c r="RDC91" s="24"/>
      <c r="RDD91" s="24"/>
      <c r="RDE91" s="24"/>
      <c r="RDF91" s="24"/>
      <c r="RDG91" s="24"/>
      <c r="RDH91" s="24"/>
      <c r="RDI91" s="24"/>
      <c r="RDJ91" s="24"/>
      <c r="RDK91" s="24"/>
      <c r="RDL91" s="24"/>
      <c r="RDM91" s="24"/>
      <c r="RDN91" s="24"/>
      <c r="RDO91" s="24"/>
      <c r="RDP91" s="24"/>
      <c r="RDQ91" s="24"/>
      <c r="RDR91" s="24"/>
      <c r="RDS91" s="24"/>
      <c r="RDT91" s="24"/>
      <c r="RDU91" s="24"/>
      <c r="RDV91" s="24"/>
      <c r="RDW91" s="24"/>
      <c r="RDX91" s="24"/>
      <c r="RDY91" s="24"/>
      <c r="RDZ91" s="24"/>
      <c r="REA91" s="24"/>
      <c r="REB91" s="24"/>
      <c r="REC91" s="24"/>
      <c r="RED91" s="24"/>
      <c r="REE91" s="24"/>
      <c r="REF91" s="24"/>
      <c r="REG91" s="24"/>
      <c r="REH91" s="24"/>
      <c r="REI91" s="24"/>
      <c r="REJ91" s="24"/>
      <c r="REK91" s="24"/>
      <c r="REL91" s="24"/>
      <c r="REM91" s="24"/>
      <c r="REN91" s="24"/>
      <c r="REO91" s="24"/>
      <c r="REP91" s="24"/>
      <c r="REQ91" s="24"/>
      <c r="RER91" s="24"/>
      <c r="RES91" s="24"/>
      <c r="RET91" s="24"/>
      <c r="REU91" s="24"/>
      <c r="REV91" s="24"/>
      <c r="REW91" s="24"/>
      <c r="REX91" s="24"/>
      <c r="REY91" s="24"/>
      <c r="REZ91" s="24"/>
      <c r="RFA91" s="24"/>
      <c r="RFB91" s="24"/>
      <c r="RFC91" s="24"/>
      <c r="RFD91" s="24"/>
      <c r="RFE91" s="24"/>
      <c r="RFF91" s="24"/>
      <c r="RFG91" s="24"/>
      <c r="RFH91" s="24"/>
      <c r="RFI91" s="24"/>
      <c r="RFJ91" s="24"/>
      <c r="RFK91" s="24"/>
      <c r="RFL91" s="24"/>
      <c r="RFM91" s="24"/>
      <c r="RFN91" s="24"/>
      <c r="RFO91" s="24"/>
      <c r="RFP91" s="24"/>
      <c r="RFQ91" s="24"/>
      <c r="RFR91" s="24"/>
      <c r="RFS91" s="24"/>
      <c r="RFT91" s="24"/>
      <c r="RFU91" s="24"/>
      <c r="RFV91" s="24"/>
      <c r="RFW91" s="24"/>
      <c r="RFX91" s="24"/>
      <c r="RFY91" s="24"/>
      <c r="RFZ91" s="24"/>
      <c r="RGA91" s="24"/>
      <c r="RGB91" s="24"/>
      <c r="RGC91" s="24"/>
      <c r="RGD91" s="24"/>
      <c r="RGE91" s="24"/>
      <c r="RGF91" s="24"/>
      <c r="RGG91" s="24"/>
      <c r="RGH91" s="24"/>
      <c r="RGI91" s="24"/>
      <c r="RGJ91" s="24"/>
      <c r="RGK91" s="24"/>
      <c r="RGL91" s="24"/>
      <c r="RGM91" s="24"/>
      <c r="RGN91" s="24"/>
      <c r="RGO91" s="24"/>
      <c r="RGP91" s="24"/>
      <c r="RGQ91" s="24"/>
      <c r="RGR91" s="24"/>
      <c r="RGS91" s="24"/>
      <c r="RGT91" s="24"/>
      <c r="RGU91" s="24"/>
      <c r="RGV91" s="24"/>
      <c r="RGW91" s="24"/>
      <c r="RGX91" s="24"/>
      <c r="RGY91" s="24"/>
      <c r="RGZ91" s="24"/>
      <c r="RHA91" s="24"/>
      <c r="RHB91" s="24"/>
      <c r="RHC91" s="24"/>
      <c r="RHD91" s="24"/>
      <c r="RHE91" s="24"/>
      <c r="RHF91" s="24"/>
      <c r="RHG91" s="24"/>
      <c r="RHH91" s="24"/>
      <c r="RHI91" s="24"/>
      <c r="RHJ91" s="24"/>
      <c r="RHK91" s="24"/>
      <c r="RHL91" s="24"/>
      <c r="RHM91" s="24"/>
      <c r="RHN91" s="24"/>
      <c r="RHO91" s="24"/>
      <c r="RHP91" s="24"/>
      <c r="RHQ91" s="24"/>
      <c r="RHR91" s="24"/>
      <c r="RHS91" s="24"/>
      <c r="RHT91" s="24"/>
      <c r="RHU91" s="24"/>
      <c r="RHV91" s="24"/>
      <c r="RHW91" s="24"/>
      <c r="RHX91" s="24"/>
      <c r="RHY91" s="24"/>
      <c r="RHZ91" s="24"/>
      <c r="RIA91" s="24"/>
      <c r="RIB91" s="24"/>
      <c r="RIC91" s="24"/>
      <c r="RID91" s="24"/>
      <c r="RIE91" s="24"/>
      <c r="RIF91" s="24"/>
      <c r="RIG91" s="24"/>
      <c r="RIH91" s="24"/>
      <c r="RII91" s="24"/>
      <c r="RIJ91" s="24"/>
      <c r="RIK91" s="24"/>
      <c r="RIL91" s="24"/>
      <c r="RIM91" s="24"/>
      <c r="RIN91" s="24"/>
      <c r="RIO91" s="24"/>
      <c r="RIP91" s="24"/>
      <c r="RIQ91" s="24"/>
      <c r="RIR91" s="24"/>
      <c r="RIS91" s="24"/>
      <c r="RIT91" s="24"/>
      <c r="RIU91" s="24"/>
      <c r="RIV91" s="24"/>
      <c r="RIW91" s="24"/>
      <c r="RIX91" s="24"/>
      <c r="RIY91" s="24"/>
      <c r="RIZ91" s="24"/>
      <c r="RJA91" s="24"/>
      <c r="RJB91" s="24"/>
      <c r="RJC91" s="24"/>
      <c r="RJD91" s="24"/>
      <c r="RJE91" s="24"/>
      <c r="RJF91" s="24"/>
      <c r="RJG91" s="24"/>
      <c r="RJH91" s="24"/>
      <c r="RJI91" s="24"/>
      <c r="RJJ91" s="24"/>
      <c r="RJK91" s="24"/>
      <c r="RJL91" s="24"/>
      <c r="RJM91" s="24"/>
      <c r="RJN91" s="24"/>
      <c r="RJO91" s="24"/>
      <c r="RJP91" s="24"/>
      <c r="RJQ91" s="24"/>
      <c r="RJR91" s="24"/>
      <c r="RJS91" s="24"/>
      <c r="RJT91" s="24"/>
      <c r="RJU91" s="24"/>
      <c r="RJV91" s="24"/>
      <c r="RJW91" s="24"/>
      <c r="RJX91" s="24"/>
      <c r="RJY91" s="24"/>
      <c r="RJZ91" s="24"/>
      <c r="RKA91" s="24"/>
      <c r="RKB91" s="24"/>
      <c r="RKC91" s="24"/>
      <c r="RKD91" s="24"/>
      <c r="RKE91" s="24"/>
      <c r="RKF91" s="24"/>
      <c r="RKG91" s="24"/>
      <c r="RKH91" s="24"/>
      <c r="RKI91" s="24"/>
      <c r="RKJ91" s="24"/>
      <c r="RKK91" s="24"/>
      <c r="RKL91" s="24"/>
      <c r="RKM91" s="24"/>
      <c r="RKN91" s="24"/>
      <c r="RKO91" s="24"/>
      <c r="RKP91" s="24"/>
      <c r="RKQ91" s="24"/>
      <c r="RKR91" s="24"/>
      <c r="RKS91" s="24"/>
      <c r="RKT91" s="24"/>
      <c r="RKU91" s="24"/>
      <c r="RKV91" s="24"/>
      <c r="RKW91" s="24"/>
      <c r="RKX91" s="24"/>
      <c r="RKY91" s="24"/>
      <c r="RKZ91" s="24"/>
      <c r="RLA91" s="24"/>
      <c r="RLB91" s="24"/>
      <c r="RLC91" s="24"/>
      <c r="RLD91" s="24"/>
      <c r="RLE91" s="24"/>
      <c r="RLF91" s="24"/>
      <c r="RLG91" s="24"/>
      <c r="RLH91" s="24"/>
      <c r="RLI91" s="24"/>
      <c r="RLJ91" s="24"/>
      <c r="RLK91" s="24"/>
      <c r="RLL91" s="24"/>
      <c r="RLM91" s="24"/>
      <c r="RLN91" s="24"/>
      <c r="RLO91" s="24"/>
      <c r="RLP91" s="24"/>
      <c r="RLQ91" s="24"/>
      <c r="RLR91" s="24"/>
      <c r="RLS91" s="24"/>
      <c r="RLT91" s="24"/>
      <c r="RLU91" s="24"/>
      <c r="RLV91" s="24"/>
      <c r="RLW91" s="24"/>
      <c r="RLX91" s="24"/>
      <c r="RLY91" s="24"/>
      <c r="RLZ91" s="24"/>
      <c r="RMA91" s="24"/>
      <c r="RMB91" s="24"/>
      <c r="RMC91" s="24"/>
      <c r="RMD91" s="24"/>
      <c r="RME91" s="24"/>
      <c r="RMF91" s="24"/>
      <c r="RMG91" s="24"/>
      <c r="RMH91" s="24"/>
      <c r="RMI91" s="24"/>
      <c r="RMJ91" s="24"/>
      <c r="RMK91" s="24"/>
      <c r="RML91" s="24"/>
      <c r="RMM91" s="24"/>
      <c r="RMN91" s="24"/>
      <c r="RMO91" s="24"/>
      <c r="RMP91" s="24"/>
      <c r="RMQ91" s="24"/>
      <c r="RMR91" s="24"/>
      <c r="RMS91" s="24"/>
      <c r="RMT91" s="24"/>
      <c r="RMU91" s="24"/>
      <c r="RMV91" s="24"/>
      <c r="RMW91" s="24"/>
      <c r="RMX91" s="24"/>
      <c r="RMY91" s="24"/>
      <c r="RMZ91" s="24"/>
      <c r="RNA91" s="24"/>
      <c r="RNB91" s="24"/>
      <c r="RNC91" s="24"/>
      <c r="RND91" s="24"/>
      <c r="RNE91" s="24"/>
      <c r="RNF91" s="24"/>
      <c r="RNG91" s="24"/>
      <c r="RNH91" s="24"/>
      <c r="RNI91" s="24"/>
      <c r="RNJ91" s="24"/>
      <c r="RNK91" s="24"/>
      <c r="RNL91" s="24"/>
      <c r="RNM91" s="24"/>
      <c r="RNN91" s="24"/>
      <c r="RNO91" s="24"/>
      <c r="RNP91" s="24"/>
      <c r="RNQ91" s="24"/>
      <c r="RNR91" s="24"/>
      <c r="RNS91" s="24"/>
      <c r="RNT91" s="24"/>
      <c r="RNU91" s="24"/>
      <c r="RNV91" s="24"/>
      <c r="RNW91" s="24"/>
      <c r="RNX91" s="24"/>
      <c r="RNY91" s="24"/>
      <c r="RNZ91" s="24"/>
      <c r="ROA91" s="24"/>
      <c r="ROB91" s="24"/>
      <c r="ROC91" s="24"/>
      <c r="ROD91" s="24"/>
      <c r="ROE91" s="24"/>
      <c r="ROF91" s="24"/>
      <c r="ROG91" s="24"/>
      <c r="ROH91" s="24"/>
      <c r="ROI91" s="24"/>
      <c r="ROJ91" s="24"/>
      <c r="ROK91" s="24"/>
      <c r="ROL91" s="24"/>
      <c r="ROM91" s="24"/>
      <c r="RON91" s="24"/>
      <c r="ROO91" s="24"/>
      <c r="ROP91" s="24"/>
      <c r="ROQ91" s="24"/>
      <c r="ROR91" s="24"/>
      <c r="ROS91" s="24"/>
      <c r="ROT91" s="24"/>
      <c r="ROU91" s="24"/>
      <c r="ROV91" s="24"/>
      <c r="ROW91" s="24"/>
      <c r="ROX91" s="24"/>
      <c r="ROY91" s="24"/>
      <c r="ROZ91" s="24"/>
      <c r="RPA91" s="24"/>
      <c r="RPB91" s="24"/>
      <c r="RPC91" s="24"/>
      <c r="RPD91" s="24"/>
      <c r="RPE91" s="24"/>
      <c r="RPF91" s="24"/>
      <c r="RPG91" s="24"/>
      <c r="RPH91" s="24"/>
      <c r="RPI91" s="24"/>
      <c r="RPJ91" s="24"/>
      <c r="RPK91" s="24"/>
      <c r="RPL91" s="24"/>
      <c r="RPM91" s="24"/>
      <c r="RPN91" s="24"/>
      <c r="RPO91" s="24"/>
      <c r="RPP91" s="24"/>
      <c r="RPQ91" s="24"/>
      <c r="RPR91" s="24"/>
      <c r="RPS91" s="24"/>
      <c r="RPT91" s="24"/>
      <c r="RPU91" s="24"/>
      <c r="RPV91" s="24"/>
      <c r="RPW91" s="24"/>
      <c r="RPX91" s="24"/>
      <c r="RPY91" s="24"/>
      <c r="RPZ91" s="24"/>
      <c r="RQA91" s="24"/>
      <c r="RQB91" s="24"/>
      <c r="RQC91" s="24"/>
      <c r="RQD91" s="24"/>
      <c r="RQE91" s="24"/>
      <c r="RQF91" s="24"/>
      <c r="RQG91" s="24"/>
      <c r="RQH91" s="24"/>
      <c r="RQI91" s="24"/>
      <c r="RQJ91" s="24"/>
      <c r="RQK91" s="24"/>
      <c r="RQL91" s="24"/>
      <c r="RQM91" s="24"/>
      <c r="RQN91" s="24"/>
      <c r="RQO91" s="24"/>
      <c r="RQP91" s="24"/>
      <c r="RQQ91" s="24"/>
      <c r="RQR91" s="24"/>
      <c r="RQS91" s="24"/>
      <c r="RQT91" s="24"/>
      <c r="RQU91" s="24"/>
      <c r="RQV91" s="24"/>
      <c r="RQW91" s="24"/>
      <c r="RQX91" s="24"/>
      <c r="RQY91" s="24"/>
      <c r="RQZ91" s="24"/>
      <c r="RRA91" s="24"/>
      <c r="RRB91" s="24"/>
      <c r="RRC91" s="24"/>
      <c r="RRD91" s="24"/>
      <c r="RRE91" s="24"/>
      <c r="RRF91" s="24"/>
      <c r="RRG91" s="24"/>
      <c r="RRH91" s="24"/>
      <c r="RRI91" s="24"/>
      <c r="RRJ91" s="24"/>
      <c r="RRK91" s="24"/>
      <c r="RRL91" s="24"/>
      <c r="RRM91" s="24"/>
      <c r="RRN91" s="24"/>
      <c r="RRO91" s="24"/>
      <c r="RRP91" s="24"/>
      <c r="RRQ91" s="24"/>
      <c r="RRR91" s="24"/>
      <c r="RRS91" s="24"/>
      <c r="RRT91" s="24"/>
      <c r="RRU91" s="24"/>
      <c r="RRV91" s="24"/>
      <c r="RRW91" s="24"/>
      <c r="RRX91" s="24"/>
      <c r="RRY91" s="24"/>
      <c r="RRZ91" s="24"/>
      <c r="RSA91" s="24"/>
      <c r="RSB91" s="24"/>
      <c r="RSC91" s="24"/>
      <c r="RSD91" s="24"/>
      <c r="RSE91" s="24"/>
      <c r="RSF91" s="24"/>
      <c r="RSG91" s="24"/>
      <c r="RSH91" s="24"/>
      <c r="RSI91" s="24"/>
      <c r="RSJ91" s="24"/>
      <c r="RSK91" s="24"/>
      <c r="RSL91" s="24"/>
      <c r="RSM91" s="24"/>
      <c r="RSN91" s="24"/>
      <c r="RSO91" s="24"/>
      <c r="RSP91" s="24"/>
      <c r="RSQ91" s="24"/>
      <c r="RSR91" s="24"/>
      <c r="RSS91" s="24"/>
      <c r="RST91" s="24"/>
      <c r="RSU91" s="24"/>
      <c r="RSV91" s="24"/>
      <c r="RSW91" s="24"/>
      <c r="RSX91" s="24"/>
      <c r="RSY91" s="24"/>
      <c r="RSZ91" s="24"/>
      <c r="RTA91" s="24"/>
      <c r="RTB91" s="24"/>
      <c r="RTC91" s="24"/>
      <c r="RTD91" s="24"/>
      <c r="RTE91" s="24"/>
      <c r="RTF91" s="24"/>
      <c r="RTG91" s="24"/>
      <c r="RTH91" s="24"/>
      <c r="RTI91" s="24"/>
      <c r="RTJ91" s="24"/>
      <c r="RTK91" s="24"/>
      <c r="RTL91" s="24"/>
      <c r="RTM91" s="24"/>
      <c r="RTN91" s="24"/>
      <c r="RTO91" s="24"/>
      <c r="RTP91" s="24"/>
      <c r="RTQ91" s="24"/>
      <c r="RTR91" s="24"/>
      <c r="RTS91" s="24"/>
      <c r="RTT91" s="24"/>
      <c r="RTU91" s="24"/>
      <c r="RTV91" s="24"/>
      <c r="RTW91" s="24"/>
      <c r="RTX91" s="24"/>
      <c r="RTY91" s="24"/>
      <c r="RTZ91" s="24"/>
      <c r="RUA91" s="24"/>
      <c r="RUB91" s="24"/>
      <c r="RUC91" s="24"/>
      <c r="RUD91" s="24"/>
      <c r="RUE91" s="24"/>
      <c r="RUF91" s="24"/>
      <c r="RUG91" s="24"/>
      <c r="RUH91" s="24"/>
      <c r="RUI91" s="24"/>
      <c r="RUJ91" s="24"/>
      <c r="RUK91" s="24"/>
      <c r="RUL91" s="24"/>
      <c r="RUM91" s="24"/>
      <c r="RUN91" s="24"/>
      <c r="RUO91" s="24"/>
      <c r="RUP91" s="24"/>
      <c r="RUQ91" s="24"/>
      <c r="RUR91" s="24"/>
      <c r="RUS91" s="24"/>
      <c r="RUT91" s="24"/>
      <c r="RUU91" s="24"/>
      <c r="RUV91" s="24"/>
      <c r="RUW91" s="24"/>
      <c r="RUX91" s="24"/>
      <c r="RUY91" s="24"/>
      <c r="RUZ91" s="24"/>
      <c r="RVA91" s="24"/>
      <c r="RVB91" s="24"/>
      <c r="RVC91" s="24"/>
      <c r="RVD91" s="24"/>
      <c r="RVE91" s="24"/>
      <c r="RVF91" s="24"/>
      <c r="RVG91" s="24"/>
      <c r="RVH91" s="24"/>
      <c r="RVI91" s="24"/>
      <c r="RVJ91" s="24"/>
      <c r="RVK91" s="24"/>
      <c r="RVL91" s="24"/>
      <c r="RVM91" s="24"/>
      <c r="RVN91" s="24"/>
      <c r="RVO91" s="24"/>
      <c r="RVP91" s="24"/>
      <c r="RVQ91" s="24"/>
      <c r="RVR91" s="24"/>
      <c r="RVS91" s="24"/>
      <c r="RVT91" s="24"/>
      <c r="RVU91" s="24"/>
      <c r="RVV91" s="24"/>
      <c r="RVW91" s="24"/>
      <c r="RVX91" s="24"/>
      <c r="RVY91" s="24"/>
      <c r="RVZ91" s="24"/>
      <c r="RWA91" s="24"/>
      <c r="RWB91" s="24"/>
      <c r="RWC91" s="24"/>
      <c r="RWD91" s="24"/>
      <c r="RWE91" s="24"/>
      <c r="RWF91" s="24"/>
      <c r="RWG91" s="24"/>
      <c r="RWH91" s="24"/>
      <c r="RWI91" s="24"/>
      <c r="RWJ91" s="24"/>
      <c r="RWK91" s="24"/>
      <c r="RWL91" s="24"/>
      <c r="RWM91" s="24"/>
      <c r="RWN91" s="24"/>
      <c r="RWO91" s="24"/>
      <c r="RWP91" s="24"/>
      <c r="RWQ91" s="24"/>
      <c r="RWR91" s="24"/>
      <c r="RWS91" s="24"/>
      <c r="RWT91" s="24"/>
      <c r="RWU91" s="24"/>
      <c r="RWV91" s="24"/>
      <c r="RWW91" s="24"/>
      <c r="RWX91" s="24"/>
      <c r="RWY91" s="24"/>
      <c r="RWZ91" s="24"/>
      <c r="RXA91" s="24"/>
      <c r="RXB91" s="24"/>
      <c r="RXC91" s="24"/>
      <c r="RXD91" s="24"/>
      <c r="RXE91" s="24"/>
      <c r="RXF91" s="24"/>
      <c r="RXG91" s="24"/>
      <c r="RXH91" s="24"/>
      <c r="RXI91" s="24"/>
      <c r="RXJ91" s="24"/>
      <c r="RXK91" s="24"/>
      <c r="RXL91" s="24"/>
      <c r="RXM91" s="24"/>
      <c r="RXN91" s="24"/>
      <c r="RXO91" s="24"/>
      <c r="RXP91" s="24"/>
      <c r="RXQ91" s="24"/>
      <c r="RXR91" s="24"/>
      <c r="RXS91" s="24"/>
      <c r="RXT91" s="24"/>
      <c r="RXU91" s="24"/>
      <c r="RXV91" s="24"/>
      <c r="RXW91" s="24"/>
      <c r="RXX91" s="24"/>
      <c r="RXY91" s="24"/>
      <c r="RXZ91" s="24"/>
      <c r="RYA91" s="24"/>
      <c r="RYB91" s="24"/>
      <c r="RYC91" s="24"/>
      <c r="RYD91" s="24"/>
      <c r="RYE91" s="24"/>
      <c r="RYF91" s="24"/>
      <c r="RYG91" s="24"/>
      <c r="RYH91" s="24"/>
      <c r="RYI91" s="24"/>
      <c r="RYJ91" s="24"/>
      <c r="RYK91" s="24"/>
      <c r="RYL91" s="24"/>
      <c r="RYM91" s="24"/>
      <c r="RYN91" s="24"/>
      <c r="RYO91" s="24"/>
      <c r="RYP91" s="24"/>
      <c r="RYQ91" s="24"/>
      <c r="RYR91" s="24"/>
      <c r="RYS91" s="24"/>
      <c r="RYT91" s="24"/>
      <c r="RYU91" s="24"/>
      <c r="RYV91" s="24"/>
      <c r="RYW91" s="24"/>
      <c r="RYX91" s="24"/>
      <c r="RYY91" s="24"/>
      <c r="RYZ91" s="24"/>
      <c r="RZA91" s="24"/>
      <c r="RZB91" s="24"/>
      <c r="RZC91" s="24"/>
      <c r="RZD91" s="24"/>
      <c r="RZE91" s="24"/>
      <c r="RZF91" s="24"/>
      <c r="RZG91" s="24"/>
      <c r="RZH91" s="24"/>
      <c r="RZI91" s="24"/>
      <c r="RZJ91" s="24"/>
      <c r="RZK91" s="24"/>
      <c r="RZL91" s="24"/>
      <c r="RZM91" s="24"/>
      <c r="RZN91" s="24"/>
      <c r="RZO91" s="24"/>
      <c r="RZP91" s="24"/>
      <c r="RZQ91" s="24"/>
      <c r="RZR91" s="24"/>
      <c r="RZS91" s="24"/>
      <c r="RZT91" s="24"/>
      <c r="RZU91" s="24"/>
      <c r="RZV91" s="24"/>
      <c r="RZW91" s="24"/>
      <c r="RZX91" s="24"/>
      <c r="RZY91" s="24"/>
      <c r="RZZ91" s="24"/>
      <c r="SAA91" s="24"/>
      <c r="SAB91" s="24"/>
      <c r="SAC91" s="24"/>
      <c r="SAD91" s="24"/>
      <c r="SAE91" s="24"/>
      <c r="SAF91" s="24"/>
      <c r="SAG91" s="24"/>
      <c r="SAH91" s="24"/>
      <c r="SAI91" s="24"/>
      <c r="SAJ91" s="24"/>
      <c r="SAK91" s="24"/>
      <c r="SAL91" s="24"/>
      <c r="SAM91" s="24"/>
      <c r="SAN91" s="24"/>
      <c r="SAO91" s="24"/>
      <c r="SAP91" s="24"/>
      <c r="SAQ91" s="24"/>
      <c r="SAR91" s="24"/>
      <c r="SAS91" s="24"/>
      <c r="SAT91" s="24"/>
      <c r="SAU91" s="24"/>
      <c r="SAV91" s="24"/>
      <c r="SAW91" s="24"/>
      <c r="SAX91" s="24"/>
      <c r="SAY91" s="24"/>
      <c r="SAZ91" s="24"/>
      <c r="SBA91" s="24"/>
      <c r="SBB91" s="24"/>
      <c r="SBC91" s="24"/>
      <c r="SBD91" s="24"/>
      <c r="SBE91" s="24"/>
      <c r="SBF91" s="24"/>
      <c r="SBG91" s="24"/>
      <c r="SBH91" s="24"/>
      <c r="SBI91" s="24"/>
      <c r="SBJ91" s="24"/>
      <c r="SBK91" s="24"/>
      <c r="SBL91" s="24"/>
      <c r="SBM91" s="24"/>
      <c r="SBN91" s="24"/>
      <c r="SBO91" s="24"/>
      <c r="SBP91" s="24"/>
      <c r="SBQ91" s="24"/>
      <c r="SBR91" s="24"/>
      <c r="SBS91" s="24"/>
      <c r="SBT91" s="24"/>
      <c r="SBU91" s="24"/>
      <c r="SBV91" s="24"/>
      <c r="SBW91" s="24"/>
      <c r="SBX91" s="24"/>
      <c r="SBY91" s="24"/>
      <c r="SBZ91" s="24"/>
      <c r="SCA91" s="24"/>
      <c r="SCB91" s="24"/>
      <c r="SCC91" s="24"/>
      <c r="SCD91" s="24"/>
      <c r="SCE91" s="24"/>
      <c r="SCF91" s="24"/>
      <c r="SCG91" s="24"/>
      <c r="SCH91" s="24"/>
      <c r="SCI91" s="24"/>
      <c r="SCJ91" s="24"/>
      <c r="SCK91" s="24"/>
      <c r="SCL91" s="24"/>
      <c r="SCM91" s="24"/>
      <c r="SCN91" s="24"/>
      <c r="SCO91" s="24"/>
      <c r="SCP91" s="24"/>
      <c r="SCQ91" s="24"/>
      <c r="SCR91" s="24"/>
      <c r="SCS91" s="24"/>
      <c r="SCT91" s="24"/>
      <c r="SCU91" s="24"/>
      <c r="SCV91" s="24"/>
      <c r="SCW91" s="24"/>
      <c r="SCX91" s="24"/>
      <c r="SCY91" s="24"/>
      <c r="SCZ91" s="24"/>
      <c r="SDA91" s="24"/>
      <c r="SDB91" s="24"/>
      <c r="SDC91" s="24"/>
      <c r="SDD91" s="24"/>
      <c r="SDE91" s="24"/>
      <c r="SDF91" s="24"/>
      <c r="SDG91" s="24"/>
      <c r="SDH91" s="24"/>
      <c r="SDI91" s="24"/>
      <c r="SDJ91" s="24"/>
      <c r="SDK91" s="24"/>
      <c r="SDL91" s="24"/>
      <c r="SDM91" s="24"/>
      <c r="SDN91" s="24"/>
      <c r="SDO91" s="24"/>
      <c r="SDP91" s="24"/>
      <c r="SDQ91" s="24"/>
      <c r="SDR91" s="24"/>
      <c r="SDS91" s="24"/>
      <c r="SDT91" s="24"/>
      <c r="SDU91" s="24"/>
      <c r="SDV91" s="24"/>
      <c r="SDW91" s="24"/>
      <c r="SDX91" s="24"/>
      <c r="SDY91" s="24"/>
      <c r="SDZ91" s="24"/>
      <c r="SEA91" s="24"/>
      <c r="SEB91" s="24"/>
      <c r="SEC91" s="24"/>
      <c r="SED91" s="24"/>
      <c r="SEE91" s="24"/>
      <c r="SEF91" s="24"/>
      <c r="SEG91" s="24"/>
      <c r="SEH91" s="24"/>
      <c r="SEI91" s="24"/>
      <c r="SEJ91" s="24"/>
      <c r="SEK91" s="24"/>
      <c r="SEL91" s="24"/>
      <c r="SEM91" s="24"/>
      <c r="SEN91" s="24"/>
      <c r="SEO91" s="24"/>
      <c r="SEP91" s="24"/>
      <c r="SEQ91" s="24"/>
      <c r="SER91" s="24"/>
      <c r="SES91" s="24"/>
      <c r="SET91" s="24"/>
      <c r="SEU91" s="24"/>
      <c r="SEV91" s="24"/>
      <c r="SEW91" s="24"/>
      <c r="SEX91" s="24"/>
      <c r="SEY91" s="24"/>
      <c r="SEZ91" s="24"/>
      <c r="SFA91" s="24"/>
      <c r="SFB91" s="24"/>
      <c r="SFC91" s="24"/>
      <c r="SFD91" s="24"/>
      <c r="SFE91" s="24"/>
      <c r="SFF91" s="24"/>
      <c r="SFG91" s="24"/>
      <c r="SFH91" s="24"/>
      <c r="SFI91" s="24"/>
      <c r="SFJ91" s="24"/>
      <c r="SFK91" s="24"/>
      <c r="SFL91" s="24"/>
      <c r="SFM91" s="24"/>
      <c r="SFN91" s="24"/>
      <c r="SFO91" s="24"/>
      <c r="SFP91" s="24"/>
      <c r="SFQ91" s="24"/>
      <c r="SFR91" s="24"/>
      <c r="SFS91" s="24"/>
      <c r="SFT91" s="24"/>
      <c r="SFU91" s="24"/>
      <c r="SFV91" s="24"/>
      <c r="SFW91" s="24"/>
      <c r="SFX91" s="24"/>
      <c r="SFY91" s="24"/>
      <c r="SFZ91" s="24"/>
      <c r="SGA91" s="24"/>
      <c r="SGB91" s="24"/>
      <c r="SGC91" s="24"/>
      <c r="SGD91" s="24"/>
      <c r="SGE91" s="24"/>
      <c r="SGF91" s="24"/>
      <c r="SGG91" s="24"/>
      <c r="SGH91" s="24"/>
      <c r="SGI91" s="24"/>
      <c r="SGJ91" s="24"/>
      <c r="SGK91" s="24"/>
      <c r="SGL91" s="24"/>
      <c r="SGM91" s="24"/>
      <c r="SGN91" s="24"/>
      <c r="SGO91" s="24"/>
      <c r="SGP91" s="24"/>
      <c r="SGQ91" s="24"/>
      <c r="SGR91" s="24"/>
      <c r="SGS91" s="24"/>
      <c r="SGT91" s="24"/>
      <c r="SGU91" s="24"/>
      <c r="SGV91" s="24"/>
      <c r="SGW91" s="24"/>
      <c r="SGX91" s="24"/>
      <c r="SGY91" s="24"/>
      <c r="SGZ91" s="24"/>
      <c r="SHA91" s="24"/>
      <c r="SHB91" s="24"/>
      <c r="SHC91" s="24"/>
      <c r="SHD91" s="24"/>
      <c r="SHE91" s="24"/>
      <c r="SHF91" s="24"/>
      <c r="SHG91" s="24"/>
      <c r="SHH91" s="24"/>
      <c r="SHI91" s="24"/>
      <c r="SHJ91" s="24"/>
      <c r="SHK91" s="24"/>
      <c r="SHL91" s="24"/>
      <c r="SHM91" s="24"/>
      <c r="SHN91" s="24"/>
      <c r="SHO91" s="24"/>
      <c r="SHP91" s="24"/>
      <c r="SHQ91" s="24"/>
      <c r="SHR91" s="24"/>
      <c r="SHS91" s="24"/>
      <c r="SHT91" s="24"/>
      <c r="SHU91" s="24"/>
      <c r="SHV91" s="24"/>
      <c r="SHW91" s="24"/>
      <c r="SHX91" s="24"/>
      <c r="SHY91" s="24"/>
      <c r="SHZ91" s="24"/>
      <c r="SIA91" s="24"/>
      <c r="SIB91" s="24"/>
      <c r="SIC91" s="24"/>
      <c r="SID91" s="24"/>
      <c r="SIE91" s="24"/>
      <c r="SIF91" s="24"/>
      <c r="SIG91" s="24"/>
      <c r="SIH91" s="24"/>
      <c r="SII91" s="24"/>
      <c r="SIJ91" s="24"/>
      <c r="SIK91" s="24"/>
      <c r="SIL91" s="24"/>
      <c r="SIM91" s="24"/>
      <c r="SIN91" s="24"/>
      <c r="SIO91" s="24"/>
      <c r="SIP91" s="24"/>
      <c r="SIQ91" s="24"/>
      <c r="SIR91" s="24"/>
      <c r="SIS91" s="24"/>
      <c r="SIT91" s="24"/>
      <c r="SIU91" s="24"/>
      <c r="SIV91" s="24"/>
      <c r="SIW91" s="24"/>
      <c r="SIX91" s="24"/>
      <c r="SIY91" s="24"/>
      <c r="SIZ91" s="24"/>
      <c r="SJA91" s="24"/>
      <c r="SJB91" s="24"/>
      <c r="SJC91" s="24"/>
      <c r="SJD91" s="24"/>
      <c r="SJE91" s="24"/>
      <c r="SJF91" s="24"/>
      <c r="SJG91" s="24"/>
      <c r="SJH91" s="24"/>
      <c r="SJI91" s="24"/>
      <c r="SJJ91" s="24"/>
      <c r="SJK91" s="24"/>
      <c r="SJL91" s="24"/>
      <c r="SJM91" s="24"/>
      <c r="SJN91" s="24"/>
      <c r="SJO91" s="24"/>
      <c r="SJP91" s="24"/>
      <c r="SJQ91" s="24"/>
      <c r="SJR91" s="24"/>
      <c r="SJS91" s="24"/>
      <c r="SJT91" s="24"/>
      <c r="SJU91" s="24"/>
      <c r="SJV91" s="24"/>
      <c r="SJW91" s="24"/>
      <c r="SJX91" s="24"/>
      <c r="SJY91" s="24"/>
      <c r="SJZ91" s="24"/>
      <c r="SKA91" s="24"/>
      <c r="SKB91" s="24"/>
      <c r="SKC91" s="24"/>
      <c r="SKD91" s="24"/>
      <c r="SKE91" s="24"/>
      <c r="SKF91" s="24"/>
      <c r="SKG91" s="24"/>
      <c r="SKH91" s="24"/>
      <c r="SKI91" s="24"/>
      <c r="SKJ91" s="24"/>
      <c r="SKK91" s="24"/>
      <c r="SKL91" s="24"/>
      <c r="SKM91" s="24"/>
      <c r="SKN91" s="24"/>
      <c r="SKO91" s="24"/>
      <c r="SKP91" s="24"/>
      <c r="SKQ91" s="24"/>
      <c r="SKR91" s="24"/>
      <c r="SKS91" s="24"/>
      <c r="SKT91" s="24"/>
      <c r="SKU91" s="24"/>
      <c r="SKV91" s="24"/>
      <c r="SKW91" s="24"/>
      <c r="SKX91" s="24"/>
      <c r="SKY91" s="24"/>
      <c r="SKZ91" s="24"/>
      <c r="SLA91" s="24"/>
      <c r="SLB91" s="24"/>
      <c r="SLC91" s="24"/>
      <c r="SLD91" s="24"/>
      <c r="SLE91" s="24"/>
      <c r="SLF91" s="24"/>
      <c r="SLG91" s="24"/>
      <c r="SLH91" s="24"/>
      <c r="SLI91" s="24"/>
      <c r="SLJ91" s="24"/>
      <c r="SLK91" s="24"/>
      <c r="SLL91" s="24"/>
      <c r="SLM91" s="24"/>
      <c r="SLN91" s="24"/>
      <c r="SLO91" s="24"/>
      <c r="SLP91" s="24"/>
      <c r="SLQ91" s="24"/>
      <c r="SLR91" s="24"/>
      <c r="SLS91" s="24"/>
      <c r="SLT91" s="24"/>
      <c r="SLU91" s="24"/>
      <c r="SLV91" s="24"/>
      <c r="SLW91" s="24"/>
      <c r="SLX91" s="24"/>
      <c r="SLY91" s="24"/>
      <c r="SLZ91" s="24"/>
      <c r="SMA91" s="24"/>
      <c r="SMB91" s="24"/>
      <c r="SMC91" s="24"/>
      <c r="SMD91" s="24"/>
      <c r="SME91" s="24"/>
      <c r="SMF91" s="24"/>
      <c r="SMG91" s="24"/>
      <c r="SMH91" s="24"/>
      <c r="SMI91" s="24"/>
      <c r="SMJ91" s="24"/>
      <c r="SMK91" s="24"/>
      <c r="SML91" s="24"/>
      <c r="SMM91" s="24"/>
      <c r="SMN91" s="24"/>
      <c r="SMO91" s="24"/>
      <c r="SMP91" s="24"/>
      <c r="SMQ91" s="24"/>
      <c r="SMR91" s="24"/>
      <c r="SMS91" s="24"/>
      <c r="SMT91" s="24"/>
      <c r="SMU91" s="24"/>
      <c r="SMV91" s="24"/>
      <c r="SMW91" s="24"/>
      <c r="SMX91" s="24"/>
      <c r="SMY91" s="24"/>
      <c r="SMZ91" s="24"/>
      <c r="SNA91" s="24"/>
      <c r="SNB91" s="24"/>
      <c r="SNC91" s="24"/>
      <c r="SND91" s="24"/>
      <c r="SNE91" s="24"/>
      <c r="SNF91" s="24"/>
      <c r="SNG91" s="24"/>
      <c r="SNH91" s="24"/>
      <c r="SNI91" s="24"/>
      <c r="SNJ91" s="24"/>
      <c r="SNK91" s="24"/>
      <c r="SNL91" s="24"/>
      <c r="SNM91" s="24"/>
      <c r="SNN91" s="24"/>
      <c r="SNO91" s="24"/>
      <c r="SNP91" s="24"/>
      <c r="SNQ91" s="24"/>
      <c r="SNR91" s="24"/>
      <c r="SNS91" s="24"/>
      <c r="SNT91" s="24"/>
      <c r="SNU91" s="24"/>
      <c r="SNV91" s="24"/>
      <c r="SNW91" s="24"/>
      <c r="SNX91" s="24"/>
      <c r="SNY91" s="24"/>
      <c r="SNZ91" s="24"/>
      <c r="SOA91" s="24"/>
      <c r="SOB91" s="24"/>
      <c r="SOC91" s="24"/>
      <c r="SOD91" s="24"/>
      <c r="SOE91" s="24"/>
      <c r="SOF91" s="24"/>
      <c r="SOG91" s="24"/>
      <c r="SOH91" s="24"/>
      <c r="SOI91" s="24"/>
      <c r="SOJ91" s="24"/>
      <c r="SOK91" s="24"/>
      <c r="SOL91" s="24"/>
      <c r="SOM91" s="24"/>
      <c r="SON91" s="24"/>
      <c r="SOO91" s="24"/>
      <c r="SOP91" s="24"/>
      <c r="SOQ91" s="24"/>
      <c r="SOR91" s="24"/>
      <c r="SOS91" s="24"/>
      <c r="SOT91" s="24"/>
      <c r="SOU91" s="24"/>
      <c r="SOV91" s="24"/>
      <c r="SOW91" s="24"/>
      <c r="SOX91" s="24"/>
      <c r="SOY91" s="24"/>
      <c r="SOZ91" s="24"/>
      <c r="SPA91" s="24"/>
      <c r="SPB91" s="24"/>
      <c r="SPC91" s="24"/>
      <c r="SPD91" s="24"/>
      <c r="SPE91" s="24"/>
      <c r="SPF91" s="24"/>
      <c r="SPG91" s="24"/>
      <c r="SPH91" s="24"/>
      <c r="SPI91" s="24"/>
      <c r="SPJ91" s="24"/>
      <c r="SPK91" s="24"/>
      <c r="SPL91" s="24"/>
      <c r="SPM91" s="24"/>
      <c r="SPN91" s="24"/>
      <c r="SPO91" s="24"/>
      <c r="SPP91" s="24"/>
      <c r="SPQ91" s="24"/>
      <c r="SPR91" s="24"/>
      <c r="SPS91" s="24"/>
      <c r="SPT91" s="24"/>
      <c r="SPU91" s="24"/>
      <c r="SPV91" s="24"/>
      <c r="SPW91" s="24"/>
      <c r="SPX91" s="24"/>
      <c r="SPY91" s="24"/>
      <c r="SPZ91" s="24"/>
      <c r="SQA91" s="24"/>
      <c r="SQB91" s="24"/>
      <c r="SQC91" s="24"/>
      <c r="SQD91" s="24"/>
      <c r="SQE91" s="24"/>
      <c r="SQF91" s="24"/>
      <c r="SQG91" s="24"/>
      <c r="SQH91" s="24"/>
      <c r="SQI91" s="24"/>
      <c r="SQJ91" s="24"/>
      <c r="SQK91" s="24"/>
      <c r="SQL91" s="24"/>
      <c r="SQM91" s="24"/>
      <c r="SQN91" s="24"/>
      <c r="SQO91" s="24"/>
      <c r="SQP91" s="24"/>
      <c r="SQQ91" s="24"/>
      <c r="SQR91" s="24"/>
      <c r="SQS91" s="24"/>
      <c r="SQT91" s="24"/>
      <c r="SQU91" s="24"/>
      <c r="SQV91" s="24"/>
      <c r="SQW91" s="24"/>
      <c r="SQX91" s="24"/>
      <c r="SQY91" s="24"/>
      <c r="SQZ91" s="24"/>
      <c r="SRA91" s="24"/>
      <c r="SRB91" s="24"/>
      <c r="SRC91" s="24"/>
      <c r="SRD91" s="24"/>
      <c r="SRE91" s="24"/>
      <c r="SRF91" s="24"/>
      <c r="SRG91" s="24"/>
      <c r="SRH91" s="24"/>
      <c r="SRI91" s="24"/>
      <c r="SRJ91" s="24"/>
      <c r="SRK91" s="24"/>
      <c r="SRL91" s="24"/>
      <c r="SRM91" s="24"/>
      <c r="SRN91" s="24"/>
      <c r="SRO91" s="24"/>
      <c r="SRP91" s="24"/>
      <c r="SRQ91" s="24"/>
      <c r="SRR91" s="24"/>
      <c r="SRS91" s="24"/>
      <c r="SRT91" s="24"/>
      <c r="SRU91" s="24"/>
      <c r="SRV91" s="24"/>
      <c r="SRW91" s="24"/>
      <c r="SRX91" s="24"/>
      <c r="SRY91" s="24"/>
      <c r="SRZ91" s="24"/>
      <c r="SSA91" s="24"/>
      <c r="SSB91" s="24"/>
      <c r="SSC91" s="24"/>
      <c r="SSD91" s="24"/>
      <c r="SSE91" s="24"/>
      <c r="SSF91" s="24"/>
      <c r="SSG91" s="24"/>
      <c r="SSH91" s="24"/>
      <c r="SSI91" s="24"/>
      <c r="SSJ91" s="24"/>
      <c r="SSK91" s="24"/>
      <c r="SSL91" s="24"/>
      <c r="SSM91" s="24"/>
      <c r="SSN91" s="24"/>
      <c r="SSO91" s="24"/>
      <c r="SSP91" s="24"/>
      <c r="SSQ91" s="24"/>
      <c r="SSR91" s="24"/>
      <c r="SSS91" s="24"/>
      <c r="SST91" s="24"/>
      <c r="SSU91" s="24"/>
      <c r="SSV91" s="24"/>
      <c r="SSW91" s="24"/>
      <c r="SSX91" s="24"/>
      <c r="SSY91" s="24"/>
      <c r="SSZ91" s="24"/>
      <c r="STA91" s="24"/>
      <c r="STB91" s="24"/>
      <c r="STC91" s="24"/>
      <c r="STD91" s="24"/>
      <c r="STE91" s="24"/>
      <c r="STF91" s="24"/>
      <c r="STG91" s="24"/>
      <c r="STH91" s="24"/>
      <c r="STI91" s="24"/>
      <c r="STJ91" s="24"/>
      <c r="STK91" s="24"/>
      <c r="STL91" s="24"/>
      <c r="STM91" s="24"/>
      <c r="STN91" s="24"/>
      <c r="STO91" s="24"/>
      <c r="STP91" s="24"/>
      <c r="STQ91" s="24"/>
      <c r="STR91" s="24"/>
      <c r="STS91" s="24"/>
      <c r="STT91" s="24"/>
      <c r="STU91" s="24"/>
      <c r="STV91" s="24"/>
      <c r="STW91" s="24"/>
      <c r="STX91" s="24"/>
      <c r="STY91" s="24"/>
      <c r="STZ91" s="24"/>
      <c r="SUA91" s="24"/>
      <c r="SUB91" s="24"/>
      <c r="SUC91" s="24"/>
      <c r="SUD91" s="24"/>
      <c r="SUE91" s="24"/>
      <c r="SUF91" s="24"/>
      <c r="SUG91" s="24"/>
      <c r="SUH91" s="24"/>
      <c r="SUI91" s="24"/>
      <c r="SUJ91" s="24"/>
      <c r="SUK91" s="24"/>
      <c r="SUL91" s="24"/>
      <c r="SUM91" s="24"/>
      <c r="SUN91" s="24"/>
      <c r="SUO91" s="24"/>
      <c r="SUP91" s="24"/>
      <c r="SUQ91" s="24"/>
      <c r="SUR91" s="24"/>
      <c r="SUS91" s="24"/>
      <c r="SUT91" s="24"/>
      <c r="SUU91" s="24"/>
      <c r="SUV91" s="24"/>
      <c r="SUW91" s="24"/>
      <c r="SUX91" s="24"/>
      <c r="SUY91" s="24"/>
      <c r="SUZ91" s="24"/>
      <c r="SVA91" s="24"/>
      <c r="SVB91" s="24"/>
      <c r="SVC91" s="24"/>
      <c r="SVD91" s="24"/>
      <c r="SVE91" s="24"/>
      <c r="SVF91" s="24"/>
      <c r="SVG91" s="24"/>
      <c r="SVH91" s="24"/>
      <c r="SVI91" s="24"/>
      <c r="SVJ91" s="24"/>
      <c r="SVK91" s="24"/>
      <c r="SVL91" s="24"/>
      <c r="SVM91" s="24"/>
      <c r="SVN91" s="24"/>
      <c r="SVO91" s="24"/>
      <c r="SVP91" s="24"/>
      <c r="SVQ91" s="24"/>
      <c r="SVR91" s="24"/>
      <c r="SVS91" s="24"/>
      <c r="SVT91" s="24"/>
      <c r="SVU91" s="24"/>
      <c r="SVV91" s="24"/>
      <c r="SVW91" s="24"/>
      <c r="SVX91" s="24"/>
      <c r="SVY91" s="24"/>
      <c r="SVZ91" s="24"/>
      <c r="SWA91" s="24"/>
      <c r="SWB91" s="24"/>
      <c r="SWC91" s="24"/>
      <c r="SWD91" s="24"/>
      <c r="SWE91" s="24"/>
      <c r="SWF91" s="24"/>
      <c r="SWG91" s="24"/>
      <c r="SWH91" s="24"/>
      <c r="SWI91" s="24"/>
      <c r="SWJ91" s="24"/>
      <c r="SWK91" s="24"/>
      <c r="SWL91" s="24"/>
      <c r="SWM91" s="24"/>
      <c r="SWN91" s="24"/>
      <c r="SWO91" s="24"/>
      <c r="SWP91" s="24"/>
      <c r="SWQ91" s="24"/>
      <c r="SWR91" s="24"/>
      <c r="SWS91" s="24"/>
      <c r="SWT91" s="24"/>
      <c r="SWU91" s="24"/>
      <c r="SWV91" s="24"/>
      <c r="SWW91" s="24"/>
      <c r="SWX91" s="24"/>
      <c r="SWY91" s="24"/>
      <c r="SWZ91" s="24"/>
      <c r="SXA91" s="24"/>
      <c r="SXB91" s="24"/>
      <c r="SXC91" s="24"/>
      <c r="SXD91" s="24"/>
      <c r="SXE91" s="24"/>
      <c r="SXF91" s="24"/>
      <c r="SXG91" s="24"/>
      <c r="SXH91" s="24"/>
      <c r="SXI91" s="24"/>
      <c r="SXJ91" s="24"/>
      <c r="SXK91" s="24"/>
      <c r="SXL91" s="24"/>
      <c r="SXM91" s="24"/>
      <c r="SXN91" s="24"/>
      <c r="SXO91" s="24"/>
      <c r="SXP91" s="24"/>
      <c r="SXQ91" s="24"/>
      <c r="SXR91" s="24"/>
      <c r="SXS91" s="24"/>
      <c r="SXT91" s="24"/>
      <c r="SXU91" s="24"/>
      <c r="SXV91" s="24"/>
      <c r="SXW91" s="24"/>
      <c r="SXX91" s="24"/>
      <c r="SXY91" s="24"/>
      <c r="SXZ91" s="24"/>
      <c r="SYA91" s="24"/>
      <c r="SYB91" s="24"/>
      <c r="SYC91" s="24"/>
      <c r="SYD91" s="24"/>
      <c r="SYE91" s="24"/>
      <c r="SYF91" s="24"/>
      <c r="SYG91" s="24"/>
      <c r="SYH91" s="24"/>
      <c r="SYI91" s="24"/>
      <c r="SYJ91" s="24"/>
      <c r="SYK91" s="24"/>
      <c r="SYL91" s="24"/>
      <c r="SYM91" s="24"/>
      <c r="SYN91" s="24"/>
      <c r="SYO91" s="24"/>
      <c r="SYP91" s="24"/>
      <c r="SYQ91" s="24"/>
      <c r="SYR91" s="24"/>
      <c r="SYS91" s="24"/>
      <c r="SYT91" s="24"/>
      <c r="SYU91" s="24"/>
      <c r="SYV91" s="24"/>
      <c r="SYW91" s="24"/>
      <c r="SYX91" s="24"/>
      <c r="SYY91" s="24"/>
      <c r="SYZ91" s="24"/>
      <c r="SZA91" s="24"/>
      <c r="SZB91" s="24"/>
      <c r="SZC91" s="24"/>
      <c r="SZD91" s="24"/>
      <c r="SZE91" s="24"/>
      <c r="SZF91" s="24"/>
      <c r="SZG91" s="24"/>
      <c r="SZH91" s="24"/>
      <c r="SZI91" s="24"/>
      <c r="SZJ91" s="24"/>
      <c r="SZK91" s="24"/>
      <c r="SZL91" s="24"/>
      <c r="SZM91" s="24"/>
      <c r="SZN91" s="24"/>
      <c r="SZO91" s="24"/>
      <c r="SZP91" s="24"/>
      <c r="SZQ91" s="24"/>
      <c r="SZR91" s="24"/>
      <c r="SZS91" s="24"/>
      <c r="SZT91" s="24"/>
      <c r="SZU91" s="24"/>
      <c r="SZV91" s="24"/>
      <c r="SZW91" s="24"/>
      <c r="SZX91" s="24"/>
      <c r="SZY91" s="24"/>
      <c r="SZZ91" s="24"/>
      <c r="TAA91" s="24"/>
      <c r="TAB91" s="24"/>
      <c r="TAC91" s="24"/>
      <c r="TAD91" s="24"/>
      <c r="TAE91" s="24"/>
      <c r="TAF91" s="24"/>
      <c r="TAG91" s="24"/>
      <c r="TAH91" s="24"/>
      <c r="TAI91" s="24"/>
      <c r="TAJ91" s="24"/>
      <c r="TAK91" s="24"/>
      <c r="TAL91" s="24"/>
      <c r="TAM91" s="24"/>
      <c r="TAN91" s="24"/>
      <c r="TAO91" s="24"/>
      <c r="TAP91" s="24"/>
      <c r="TAQ91" s="24"/>
      <c r="TAR91" s="24"/>
      <c r="TAS91" s="24"/>
      <c r="TAT91" s="24"/>
      <c r="TAU91" s="24"/>
      <c r="TAV91" s="24"/>
      <c r="TAW91" s="24"/>
      <c r="TAX91" s="24"/>
      <c r="TAY91" s="24"/>
      <c r="TAZ91" s="24"/>
      <c r="TBA91" s="24"/>
      <c r="TBB91" s="24"/>
      <c r="TBC91" s="24"/>
      <c r="TBD91" s="24"/>
      <c r="TBE91" s="24"/>
      <c r="TBF91" s="24"/>
      <c r="TBG91" s="24"/>
      <c r="TBH91" s="24"/>
      <c r="TBI91" s="24"/>
      <c r="TBJ91" s="24"/>
      <c r="TBK91" s="24"/>
      <c r="TBL91" s="24"/>
      <c r="TBM91" s="24"/>
      <c r="TBN91" s="24"/>
      <c r="TBO91" s="24"/>
      <c r="TBP91" s="24"/>
      <c r="TBQ91" s="24"/>
      <c r="TBR91" s="24"/>
      <c r="TBS91" s="24"/>
      <c r="TBT91" s="24"/>
      <c r="TBU91" s="24"/>
      <c r="TBV91" s="24"/>
      <c r="TBW91" s="24"/>
      <c r="TBX91" s="24"/>
      <c r="TBY91" s="24"/>
      <c r="TBZ91" s="24"/>
      <c r="TCA91" s="24"/>
      <c r="TCB91" s="24"/>
      <c r="TCC91" s="24"/>
      <c r="TCD91" s="24"/>
      <c r="TCE91" s="24"/>
      <c r="TCF91" s="24"/>
      <c r="TCG91" s="24"/>
      <c r="TCH91" s="24"/>
      <c r="TCI91" s="24"/>
      <c r="TCJ91" s="24"/>
      <c r="TCK91" s="24"/>
      <c r="TCL91" s="24"/>
      <c r="TCM91" s="24"/>
      <c r="TCN91" s="24"/>
      <c r="TCO91" s="24"/>
      <c r="TCP91" s="24"/>
      <c r="TCQ91" s="24"/>
      <c r="TCR91" s="24"/>
      <c r="TCS91" s="24"/>
      <c r="TCT91" s="24"/>
      <c r="TCU91" s="24"/>
      <c r="TCV91" s="24"/>
      <c r="TCW91" s="24"/>
      <c r="TCX91" s="24"/>
      <c r="TCY91" s="24"/>
      <c r="TCZ91" s="24"/>
      <c r="TDA91" s="24"/>
      <c r="TDB91" s="24"/>
      <c r="TDC91" s="24"/>
      <c r="TDD91" s="24"/>
      <c r="TDE91" s="24"/>
      <c r="TDF91" s="24"/>
      <c r="TDG91" s="24"/>
      <c r="TDH91" s="24"/>
      <c r="TDI91" s="24"/>
      <c r="TDJ91" s="24"/>
      <c r="TDK91" s="24"/>
      <c r="TDL91" s="24"/>
      <c r="TDM91" s="24"/>
      <c r="TDN91" s="24"/>
      <c r="TDO91" s="24"/>
      <c r="TDP91" s="24"/>
      <c r="TDQ91" s="24"/>
      <c r="TDR91" s="24"/>
      <c r="TDS91" s="24"/>
      <c r="TDT91" s="24"/>
      <c r="TDU91" s="24"/>
      <c r="TDV91" s="24"/>
      <c r="TDW91" s="24"/>
      <c r="TDX91" s="24"/>
      <c r="TDY91" s="24"/>
      <c r="TDZ91" s="24"/>
      <c r="TEA91" s="24"/>
      <c r="TEB91" s="24"/>
      <c r="TEC91" s="24"/>
      <c r="TED91" s="24"/>
      <c r="TEE91" s="24"/>
      <c r="TEF91" s="24"/>
      <c r="TEG91" s="24"/>
      <c r="TEH91" s="24"/>
      <c r="TEI91" s="24"/>
      <c r="TEJ91" s="24"/>
      <c r="TEK91" s="24"/>
      <c r="TEL91" s="24"/>
      <c r="TEM91" s="24"/>
      <c r="TEN91" s="24"/>
      <c r="TEO91" s="24"/>
      <c r="TEP91" s="24"/>
      <c r="TEQ91" s="24"/>
      <c r="TER91" s="24"/>
      <c r="TES91" s="24"/>
      <c r="TET91" s="24"/>
      <c r="TEU91" s="24"/>
      <c r="TEV91" s="24"/>
      <c r="TEW91" s="24"/>
      <c r="TEX91" s="24"/>
      <c r="TEY91" s="24"/>
      <c r="TEZ91" s="24"/>
      <c r="TFA91" s="24"/>
      <c r="TFB91" s="24"/>
      <c r="TFC91" s="24"/>
      <c r="TFD91" s="24"/>
      <c r="TFE91" s="24"/>
      <c r="TFF91" s="24"/>
      <c r="TFG91" s="24"/>
      <c r="TFH91" s="24"/>
      <c r="TFI91" s="24"/>
      <c r="TFJ91" s="24"/>
      <c r="TFK91" s="24"/>
      <c r="TFL91" s="24"/>
      <c r="TFM91" s="24"/>
      <c r="TFN91" s="24"/>
      <c r="TFO91" s="24"/>
      <c r="TFP91" s="24"/>
      <c r="TFQ91" s="24"/>
      <c r="TFR91" s="24"/>
      <c r="TFS91" s="24"/>
      <c r="TFT91" s="24"/>
      <c r="TFU91" s="24"/>
      <c r="TFV91" s="24"/>
      <c r="TFW91" s="24"/>
      <c r="TFX91" s="24"/>
      <c r="TFY91" s="24"/>
      <c r="TFZ91" s="24"/>
      <c r="TGA91" s="24"/>
      <c r="TGB91" s="24"/>
      <c r="TGC91" s="24"/>
      <c r="TGD91" s="24"/>
      <c r="TGE91" s="24"/>
      <c r="TGF91" s="24"/>
      <c r="TGG91" s="24"/>
      <c r="TGH91" s="24"/>
      <c r="TGI91" s="24"/>
      <c r="TGJ91" s="24"/>
      <c r="TGK91" s="24"/>
      <c r="TGL91" s="24"/>
      <c r="TGM91" s="24"/>
      <c r="TGN91" s="24"/>
      <c r="TGO91" s="24"/>
      <c r="TGP91" s="24"/>
      <c r="TGQ91" s="24"/>
      <c r="TGR91" s="24"/>
      <c r="TGS91" s="24"/>
      <c r="TGT91" s="24"/>
      <c r="TGU91" s="24"/>
      <c r="TGV91" s="24"/>
      <c r="TGW91" s="24"/>
      <c r="TGX91" s="24"/>
      <c r="TGY91" s="24"/>
      <c r="TGZ91" s="24"/>
      <c r="THA91" s="24"/>
      <c r="THB91" s="24"/>
      <c r="THC91" s="24"/>
      <c r="THD91" s="24"/>
      <c r="THE91" s="24"/>
      <c r="THF91" s="24"/>
      <c r="THG91" s="24"/>
      <c r="THH91" s="24"/>
      <c r="THI91" s="24"/>
      <c r="THJ91" s="24"/>
      <c r="THK91" s="24"/>
      <c r="THL91" s="24"/>
      <c r="THM91" s="24"/>
      <c r="THN91" s="24"/>
      <c r="THO91" s="24"/>
      <c r="THP91" s="24"/>
      <c r="THQ91" s="24"/>
      <c r="THR91" s="24"/>
      <c r="THS91" s="24"/>
      <c r="THT91" s="24"/>
      <c r="THU91" s="24"/>
      <c r="THV91" s="24"/>
      <c r="THW91" s="24"/>
      <c r="THX91" s="24"/>
      <c r="THY91" s="24"/>
      <c r="THZ91" s="24"/>
      <c r="TIA91" s="24"/>
      <c r="TIB91" s="24"/>
      <c r="TIC91" s="24"/>
      <c r="TID91" s="24"/>
      <c r="TIE91" s="24"/>
      <c r="TIF91" s="24"/>
      <c r="TIG91" s="24"/>
      <c r="TIH91" s="24"/>
      <c r="TII91" s="24"/>
      <c r="TIJ91" s="24"/>
      <c r="TIK91" s="24"/>
      <c r="TIL91" s="24"/>
      <c r="TIM91" s="24"/>
      <c r="TIN91" s="24"/>
      <c r="TIO91" s="24"/>
      <c r="TIP91" s="24"/>
      <c r="TIQ91" s="24"/>
      <c r="TIR91" s="24"/>
      <c r="TIS91" s="24"/>
      <c r="TIT91" s="24"/>
      <c r="TIU91" s="24"/>
      <c r="TIV91" s="24"/>
      <c r="TIW91" s="24"/>
      <c r="TIX91" s="24"/>
      <c r="TIY91" s="24"/>
      <c r="TIZ91" s="24"/>
      <c r="TJA91" s="24"/>
      <c r="TJB91" s="24"/>
      <c r="TJC91" s="24"/>
      <c r="TJD91" s="24"/>
      <c r="TJE91" s="24"/>
      <c r="TJF91" s="24"/>
      <c r="TJG91" s="24"/>
      <c r="TJH91" s="24"/>
      <c r="TJI91" s="24"/>
      <c r="TJJ91" s="24"/>
      <c r="TJK91" s="24"/>
      <c r="TJL91" s="24"/>
      <c r="TJM91" s="24"/>
      <c r="TJN91" s="24"/>
      <c r="TJO91" s="24"/>
      <c r="TJP91" s="24"/>
      <c r="TJQ91" s="24"/>
      <c r="TJR91" s="24"/>
      <c r="TJS91" s="24"/>
      <c r="TJT91" s="24"/>
      <c r="TJU91" s="24"/>
      <c r="TJV91" s="24"/>
      <c r="TJW91" s="24"/>
      <c r="TJX91" s="24"/>
      <c r="TJY91" s="24"/>
      <c r="TJZ91" s="24"/>
      <c r="TKA91" s="24"/>
      <c r="TKB91" s="24"/>
      <c r="TKC91" s="24"/>
      <c r="TKD91" s="24"/>
      <c r="TKE91" s="24"/>
      <c r="TKF91" s="24"/>
      <c r="TKG91" s="24"/>
      <c r="TKH91" s="24"/>
      <c r="TKI91" s="24"/>
      <c r="TKJ91" s="24"/>
      <c r="TKK91" s="24"/>
      <c r="TKL91" s="24"/>
      <c r="TKM91" s="24"/>
      <c r="TKN91" s="24"/>
      <c r="TKO91" s="24"/>
      <c r="TKP91" s="24"/>
      <c r="TKQ91" s="24"/>
      <c r="TKR91" s="24"/>
      <c r="TKS91" s="24"/>
      <c r="TKT91" s="24"/>
      <c r="TKU91" s="24"/>
      <c r="TKV91" s="24"/>
      <c r="TKW91" s="24"/>
      <c r="TKX91" s="24"/>
      <c r="TKY91" s="24"/>
      <c r="TKZ91" s="24"/>
      <c r="TLA91" s="24"/>
      <c r="TLB91" s="24"/>
      <c r="TLC91" s="24"/>
      <c r="TLD91" s="24"/>
      <c r="TLE91" s="24"/>
      <c r="TLF91" s="24"/>
      <c r="TLG91" s="24"/>
      <c r="TLH91" s="24"/>
      <c r="TLI91" s="24"/>
      <c r="TLJ91" s="24"/>
      <c r="TLK91" s="24"/>
      <c r="TLL91" s="24"/>
      <c r="TLM91" s="24"/>
      <c r="TLN91" s="24"/>
      <c r="TLO91" s="24"/>
      <c r="TLP91" s="24"/>
      <c r="TLQ91" s="24"/>
      <c r="TLR91" s="24"/>
      <c r="TLS91" s="24"/>
      <c r="TLT91" s="24"/>
      <c r="TLU91" s="24"/>
      <c r="TLV91" s="24"/>
      <c r="TLW91" s="24"/>
      <c r="TLX91" s="24"/>
      <c r="TLY91" s="24"/>
      <c r="TLZ91" s="24"/>
      <c r="TMA91" s="24"/>
      <c r="TMB91" s="24"/>
      <c r="TMC91" s="24"/>
      <c r="TMD91" s="24"/>
      <c r="TME91" s="24"/>
      <c r="TMF91" s="24"/>
      <c r="TMG91" s="24"/>
      <c r="TMH91" s="24"/>
      <c r="TMI91" s="24"/>
      <c r="TMJ91" s="24"/>
      <c r="TMK91" s="24"/>
      <c r="TML91" s="24"/>
      <c r="TMM91" s="24"/>
      <c r="TMN91" s="24"/>
      <c r="TMO91" s="24"/>
      <c r="TMP91" s="24"/>
      <c r="TMQ91" s="24"/>
      <c r="TMR91" s="24"/>
      <c r="TMS91" s="24"/>
      <c r="TMT91" s="24"/>
      <c r="TMU91" s="24"/>
      <c r="TMV91" s="24"/>
      <c r="TMW91" s="24"/>
      <c r="TMX91" s="24"/>
      <c r="TMY91" s="24"/>
      <c r="TMZ91" s="24"/>
      <c r="TNA91" s="24"/>
      <c r="TNB91" s="24"/>
      <c r="TNC91" s="24"/>
      <c r="TND91" s="24"/>
      <c r="TNE91" s="24"/>
      <c r="TNF91" s="24"/>
      <c r="TNG91" s="24"/>
      <c r="TNH91" s="24"/>
      <c r="TNI91" s="24"/>
      <c r="TNJ91" s="24"/>
      <c r="TNK91" s="24"/>
      <c r="TNL91" s="24"/>
      <c r="TNM91" s="24"/>
      <c r="TNN91" s="24"/>
      <c r="TNO91" s="24"/>
      <c r="TNP91" s="24"/>
      <c r="TNQ91" s="24"/>
      <c r="TNR91" s="24"/>
      <c r="TNS91" s="24"/>
      <c r="TNT91" s="24"/>
      <c r="TNU91" s="24"/>
      <c r="TNV91" s="24"/>
      <c r="TNW91" s="24"/>
      <c r="TNX91" s="24"/>
      <c r="TNY91" s="24"/>
      <c r="TNZ91" s="24"/>
      <c r="TOA91" s="24"/>
      <c r="TOB91" s="24"/>
      <c r="TOC91" s="24"/>
      <c r="TOD91" s="24"/>
      <c r="TOE91" s="24"/>
      <c r="TOF91" s="24"/>
      <c r="TOG91" s="24"/>
      <c r="TOH91" s="24"/>
      <c r="TOI91" s="24"/>
      <c r="TOJ91" s="24"/>
      <c r="TOK91" s="24"/>
      <c r="TOL91" s="24"/>
      <c r="TOM91" s="24"/>
      <c r="TON91" s="24"/>
      <c r="TOO91" s="24"/>
      <c r="TOP91" s="24"/>
      <c r="TOQ91" s="24"/>
      <c r="TOR91" s="24"/>
      <c r="TOS91" s="24"/>
      <c r="TOT91" s="24"/>
      <c r="TOU91" s="24"/>
      <c r="TOV91" s="24"/>
      <c r="TOW91" s="24"/>
      <c r="TOX91" s="24"/>
      <c r="TOY91" s="24"/>
      <c r="TOZ91" s="24"/>
      <c r="TPA91" s="24"/>
      <c r="TPB91" s="24"/>
      <c r="TPC91" s="24"/>
      <c r="TPD91" s="24"/>
      <c r="TPE91" s="24"/>
      <c r="TPF91" s="24"/>
      <c r="TPG91" s="24"/>
      <c r="TPH91" s="24"/>
      <c r="TPI91" s="24"/>
      <c r="TPJ91" s="24"/>
      <c r="TPK91" s="24"/>
      <c r="TPL91" s="24"/>
      <c r="TPM91" s="24"/>
      <c r="TPN91" s="24"/>
      <c r="TPO91" s="24"/>
      <c r="TPP91" s="24"/>
      <c r="TPQ91" s="24"/>
      <c r="TPR91" s="24"/>
      <c r="TPS91" s="24"/>
      <c r="TPT91" s="24"/>
      <c r="TPU91" s="24"/>
      <c r="TPV91" s="24"/>
      <c r="TPW91" s="24"/>
      <c r="TPX91" s="24"/>
      <c r="TPY91" s="24"/>
      <c r="TPZ91" s="24"/>
      <c r="TQA91" s="24"/>
      <c r="TQB91" s="24"/>
      <c r="TQC91" s="24"/>
      <c r="TQD91" s="24"/>
      <c r="TQE91" s="24"/>
      <c r="TQF91" s="24"/>
      <c r="TQG91" s="24"/>
      <c r="TQH91" s="24"/>
      <c r="TQI91" s="24"/>
      <c r="TQJ91" s="24"/>
      <c r="TQK91" s="24"/>
      <c r="TQL91" s="24"/>
      <c r="TQM91" s="24"/>
      <c r="TQN91" s="24"/>
      <c r="TQO91" s="24"/>
      <c r="TQP91" s="24"/>
      <c r="TQQ91" s="24"/>
      <c r="TQR91" s="24"/>
      <c r="TQS91" s="24"/>
      <c r="TQT91" s="24"/>
      <c r="TQU91" s="24"/>
      <c r="TQV91" s="24"/>
      <c r="TQW91" s="24"/>
      <c r="TQX91" s="24"/>
      <c r="TQY91" s="24"/>
      <c r="TQZ91" s="24"/>
      <c r="TRA91" s="24"/>
      <c r="TRB91" s="24"/>
      <c r="TRC91" s="24"/>
      <c r="TRD91" s="24"/>
      <c r="TRE91" s="24"/>
      <c r="TRF91" s="24"/>
      <c r="TRG91" s="24"/>
      <c r="TRH91" s="24"/>
      <c r="TRI91" s="24"/>
      <c r="TRJ91" s="24"/>
      <c r="TRK91" s="24"/>
      <c r="TRL91" s="24"/>
      <c r="TRM91" s="24"/>
      <c r="TRN91" s="24"/>
      <c r="TRO91" s="24"/>
      <c r="TRP91" s="24"/>
      <c r="TRQ91" s="24"/>
      <c r="TRR91" s="24"/>
      <c r="TRS91" s="24"/>
      <c r="TRT91" s="24"/>
      <c r="TRU91" s="24"/>
      <c r="TRV91" s="24"/>
      <c r="TRW91" s="24"/>
      <c r="TRX91" s="24"/>
      <c r="TRY91" s="24"/>
      <c r="TRZ91" s="24"/>
      <c r="TSA91" s="24"/>
      <c r="TSB91" s="24"/>
      <c r="TSC91" s="24"/>
      <c r="TSD91" s="24"/>
      <c r="TSE91" s="24"/>
      <c r="TSF91" s="24"/>
      <c r="TSG91" s="24"/>
      <c r="TSH91" s="24"/>
      <c r="TSI91" s="24"/>
      <c r="TSJ91" s="24"/>
      <c r="TSK91" s="24"/>
      <c r="TSL91" s="24"/>
      <c r="TSM91" s="24"/>
      <c r="TSN91" s="24"/>
      <c r="TSO91" s="24"/>
      <c r="TSP91" s="24"/>
      <c r="TSQ91" s="24"/>
      <c r="TSR91" s="24"/>
      <c r="TSS91" s="24"/>
      <c r="TST91" s="24"/>
      <c r="TSU91" s="24"/>
      <c r="TSV91" s="24"/>
      <c r="TSW91" s="24"/>
      <c r="TSX91" s="24"/>
      <c r="TSY91" s="24"/>
      <c r="TSZ91" s="24"/>
      <c r="TTA91" s="24"/>
      <c r="TTB91" s="24"/>
      <c r="TTC91" s="24"/>
      <c r="TTD91" s="24"/>
      <c r="TTE91" s="24"/>
      <c r="TTF91" s="24"/>
      <c r="TTG91" s="24"/>
      <c r="TTH91" s="24"/>
      <c r="TTI91" s="24"/>
      <c r="TTJ91" s="24"/>
      <c r="TTK91" s="24"/>
      <c r="TTL91" s="24"/>
      <c r="TTM91" s="24"/>
      <c r="TTN91" s="24"/>
      <c r="TTO91" s="24"/>
      <c r="TTP91" s="24"/>
      <c r="TTQ91" s="24"/>
      <c r="TTR91" s="24"/>
      <c r="TTS91" s="24"/>
      <c r="TTT91" s="24"/>
      <c r="TTU91" s="24"/>
      <c r="TTV91" s="24"/>
      <c r="TTW91" s="24"/>
      <c r="TTX91" s="24"/>
      <c r="TTY91" s="24"/>
      <c r="TTZ91" s="24"/>
      <c r="TUA91" s="24"/>
      <c r="TUB91" s="24"/>
      <c r="TUC91" s="24"/>
      <c r="TUD91" s="24"/>
      <c r="TUE91" s="24"/>
      <c r="TUF91" s="24"/>
      <c r="TUG91" s="24"/>
      <c r="TUH91" s="24"/>
      <c r="TUI91" s="24"/>
      <c r="TUJ91" s="24"/>
      <c r="TUK91" s="24"/>
      <c r="TUL91" s="24"/>
      <c r="TUM91" s="24"/>
      <c r="TUN91" s="24"/>
      <c r="TUO91" s="24"/>
      <c r="TUP91" s="24"/>
      <c r="TUQ91" s="24"/>
      <c r="TUR91" s="24"/>
      <c r="TUS91" s="24"/>
      <c r="TUT91" s="24"/>
      <c r="TUU91" s="24"/>
      <c r="TUV91" s="24"/>
      <c r="TUW91" s="24"/>
      <c r="TUX91" s="24"/>
      <c r="TUY91" s="24"/>
      <c r="TUZ91" s="24"/>
      <c r="TVA91" s="24"/>
      <c r="TVB91" s="24"/>
      <c r="TVC91" s="24"/>
      <c r="TVD91" s="24"/>
      <c r="TVE91" s="24"/>
      <c r="TVF91" s="24"/>
      <c r="TVG91" s="24"/>
      <c r="TVH91" s="24"/>
      <c r="TVI91" s="24"/>
      <c r="TVJ91" s="24"/>
      <c r="TVK91" s="24"/>
      <c r="TVL91" s="24"/>
      <c r="TVM91" s="24"/>
      <c r="TVN91" s="24"/>
      <c r="TVO91" s="24"/>
      <c r="TVP91" s="24"/>
      <c r="TVQ91" s="24"/>
      <c r="TVR91" s="24"/>
      <c r="TVS91" s="24"/>
      <c r="TVT91" s="24"/>
      <c r="TVU91" s="24"/>
      <c r="TVV91" s="24"/>
      <c r="TVW91" s="24"/>
      <c r="TVX91" s="24"/>
      <c r="TVY91" s="24"/>
      <c r="TVZ91" s="24"/>
      <c r="TWA91" s="24"/>
      <c r="TWB91" s="24"/>
      <c r="TWC91" s="24"/>
      <c r="TWD91" s="24"/>
      <c r="TWE91" s="24"/>
      <c r="TWF91" s="24"/>
      <c r="TWG91" s="24"/>
      <c r="TWH91" s="24"/>
      <c r="TWI91" s="24"/>
      <c r="TWJ91" s="24"/>
      <c r="TWK91" s="24"/>
      <c r="TWL91" s="24"/>
      <c r="TWM91" s="24"/>
      <c r="TWN91" s="24"/>
      <c r="TWO91" s="24"/>
      <c r="TWP91" s="24"/>
      <c r="TWQ91" s="24"/>
      <c r="TWR91" s="24"/>
      <c r="TWS91" s="24"/>
      <c r="TWT91" s="24"/>
      <c r="TWU91" s="24"/>
      <c r="TWV91" s="24"/>
      <c r="TWW91" s="24"/>
      <c r="TWX91" s="24"/>
      <c r="TWY91" s="24"/>
      <c r="TWZ91" s="24"/>
      <c r="TXA91" s="24"/>
      <c r="TXB91" s="24"/>
      <c r="TXC91" s="24"/>
      <c r="TXD91" s="24"/>
      <c r="TXE91" s="24"/>
      <c r="TXF91" s="24"/>
      <c r="TXG91" s="24"/>
      <c r="TXH91" s="24"/>
      <c r="TXI91" s="24"/>
      <c r="TXJ91" s="24"/>
      <c r="TXK91" s="24"/>
      <c r="TXL91" s="24"/>
      <c r="TXM91" s="24"/>
      <c r="TXN91" s="24"/>
      <c r="TXO91" s="24"/>
      <c r="TXP91" s="24"/>
      <c r="TXQ91" s="24"/>
      <c r="TXR91" s="24"/>
      <c r="TXS91" s="24"/>
      <c r="TXT91" s="24"/>
      <c r="TXU91" s="24"/>
      <c r="TXV91" s="24"/>
      <c r="TXW91" s="24"/>
      <c r="TXX91" s="24"/>
      <c r="TXY91" s="24"/>
      <c r="TXZ91" s="24"/>
      <c r="TYA91" s="24"/>
      <c r="TYB91" s="24"/>
      <c r="TYC91" s="24"/>
      <c r="TYD91" s="24"/>
      <c r="TYE91" s="24"/>
      <c r="TYF91" s="24"/>
      <c r="TYG91" s="24"/>
      <c r="TYH91" s="24"/>
      <c r="TYI91" s="24"/>
      <c r="TYJ91" s="24"/>
      <c r="TYK91" s="24"/>
      <c r="TYL91" s="24"/>
      <c r="TYM91" s="24"/>
      <c r="TYN91" s="24"/>
      <c r="TYO91" s="24"/>
      <c r="TYP91" s="24"/>
      <c r="TYQ91" s="24"/>
      <c r="TYR91" s="24"/>
      <c r="TYS91" s="24"/>
      <c r="TYT91" s="24"/>
      <c r="TYU91" s="24"/>
      <c r="TYV91" s="24"/>
      <c r="TYW91" s="24"/>
      <c r="TYX91" s="24"/>
      <c r="TYY91" s="24"/>
      <c r="TYZ91" s="24"/>
      <c r="TZA91" s="24"/>
      <c r="TZB91" s="24"/>
      <c r="TZC91" s="24"/>
      <c r="TZD91" s="24"/>
      <c r="TZE91" s="24"/>
      <c r="TZF91" s="24"/>
      <c r="TZG91" s="24"/>
      <c r="TZH91" s="24"/>
      <c r="TZI91" s="24"/>
      <c r="TZJ91" s="24"/>
      <c r="TZK91" s="24"/>
      <c r="TZL91" s="24"/>
      <c r="TZM91" s="24"/>
      <c r="TZN91" s="24"/>
      <c r="TZO91" s="24"/>
      <c r="TZP91" s="24"/>
      <c r="TZQ91" s="24"/>
      <c r="TZR91" s="24"/>
      <c r="TZS91" s="24"/>
      <c r="TZT91" s="24"/>
      <c r="TZU91" s="24"/>
      <c r="TZV91" s="24"/>
      <c r="TZW91" s="24"/>
      <c r="TZX91" s="24"/>
      <c r="TZY91" s="24"/>
      <c r="TZZ91" s="24"/>
      <c r="UAA91" s="24"/>
      <c r="UAB91" s="24"/>
      <c r="UAC91" s="24"/>
      <c r="UAD91" s="24"/>
      <c r="UAE91" s="24"/>
      <c r="UAF91" s="24"/>
      <c r="UAG91" s="24"/>
      <c r="UAH91" s="24"/>
      <c r="UAI91" s="24"/>
      <c r="UAJ91" s="24"/>
      <c r="UAK91" s="24"/>
      <c r="UAL91" s="24"/>
      <c r="UAM91" s="24"/>
      <c r="UAN91" s="24"/>
      <c r="UAO91" s="24"/>
      <c r="UAP91" s="24"/>
      <c r="UAQ91" s="24"/>
      <c r="UAR91" s="24"/>
      <c r="UAS91" s="24"/>
      <c r="UAT91" s="24"/>
      <c r="UAU91" s="24"/>
      <c r="UAV91" s="24"/>
      <c r="UAW91" s="24"/>
      <c r="UAX91" s="24"/>
      <c r="UAY91" s="24"/>
      <c r="UAZ91" s="24"/>
      <c r="UBA91" s="24"/>
      <c r="UBB91" s="24"/>
      <c r="UBC91" s="24"/>
      <c r="UBD91" s="24"/>
      <c r="UBE91" s="24"/>
      <c r="UBF91" s="24"/>
      <c r="UBG91" s="24"/>
      <c r="UBH91" s="24"/>
      <c r="UBI91" s="24"/>
      <c r="UBJ91" s="24"/>
      <c r="UBK91" s="24"/>
      <c r="UBL91" s="24"/>
      <c r="UBM91" s="24"/>
      <c r="UBN91" s="24"/>
      <c r="UBO91" s="24"/>
      <c r="UBP91" s="24"/>
      <c r="UBQ91" s="24"/>
      <c r="UBR91" s="24"/>
      <c r="UBS91" s="24"/>
      <c r="UBT91" s="24"/>
      <c r="UBU91" s="24"/>
      <c r="UBV91" s="24"/>
      <c r="UBW91" s="24"/>
      <c r="UBX91" s="24"/>
      <c r="UBY91" s="24"/>
      <c r="UBZ91" s="24"/>
      <c r="UCA91" s="24"/>
      <c r="UCB91" s="24"/>
      <c r="UCC91" s="24"/>
      <c r="UCD91" s="24"/>
      <c r="UCE91" s="24"/>
      <c r="UCF91" s="24"/>
      <c r="UCG91" s="24"/>
      <c r="UCH91" s="24"/>
      <c r="UCI91" s="24"/>
      <c r="UCJ91" s="24"/>
      <c r="UCK91" s="24"/>
      <c r="UCL91" s="24"/>
      <c r="UCM91" s="24"/>
      <c r="UCN91" s="24"/>
      <c r="UCO91" s="24"/>
      <c r="UCP91" s="24"/>
      <c r="UCQ91" s="24"/>
      <c r="UCR91" s="24"/>
      <c r="UCS91" s="24"/>
      <c r="UCT91" s="24"/>
      <c r="UCU91" s="24"/>
      <c r="UCV91" s="24"/>
      <c r="UCW91" s="24"/>
      <c r="UCX91" s="24"/>
      <c r="UCY91" s="24"/>
      <c r="UCZ91" s="24"/>
      <c r="UDA91" s="24"/>
      <c r="UDB91" s="24"/>
      <c r="UDC91" s="24"/>
      <c r="UDD91" s="24"/>
      <c r="UDE91" s="24"/>
      <c r="UDF91" s="24"/>
      <c r="UDG91" s="24"/>
      <c r="UDH91" s="24"/>
      <c r="UDI91" s="24"/>
      <c r="UDJ91" s="24"/>
      <c r="UDK91" s="24"/>
      <c r="UDL91" s="24"/>
      <c r="UDM91" s="24"/>
      <c r="UDN91" s="24"/>
      <c r="UDO91" s="24"/>
      <c r="UDP91" s="24"/>
      <c r="UDQ91" s="24"/>
      <c r="UDR91" s="24"/>
      <c r="UDS91" s="24"/>
      <c r="UDT91" s="24"/>
      <c r="UDU91" s="24"/>
      <c r="UDV91" s="24"/>
      <c r="UDW91" s="24"/>
      <c r="UDX91" s="24"/>
      <c r="UDY91" s="24"/>
      <c r="UDZ91" s="24"/>
      <c r="UEA91" s="24"/>
      <c r="UEB91" s="24"/>
      <c r="UEC91" s="24"/>
      <c r="UED91" s="24"/>
      <c r="UEE91" s="24"/>
      <c r="UEF91" s="24"/>
      <c r="UEG91" s="24"/>
      <c r="UEH91" s="24"/>
      <c r="UEI91" s="24"/>
      <c r="UEJ91" s="24"/>
      <c r="UEK91" s="24"/>
      <c r="UEL91" s="24"/>
      <c r="UEM91" s="24"/>
      <c r="UEN91" s="24"/>
      <c r="UEO91" s="24"/>
      <c r="UEP91" s="24"/>
      <c r="UEQ91" s="24"/>
      <c r="UER91" s="24"/>
      <c r="UES91" s="24"/>
      <c r="UET91" s="24"/>
      <c r="UEU91" s="24"/>
      <c r="UEV91" s="24"/>
      <c r="UEW91" s="24"/>
      <c r="UEX91" s="24"/>
      <c r="UEY91" s="24"/>
      <c r="UEZ91" s="24"/>
      <c r="UFA91" s="24"/>
      <c r="UFB91" s="24"/>
      <c r="UFC91" s="24"/>
      <c r="UFD91" s="24"/>
      <c r="UFE91" s="24"/>
      <c r="UFF91" s="24"/>
      <c r="UFG91" s="24"/>
      <c r="UFH91" s="24"/>
      <c r="UFI91" s="24"/>
      <c r="UFJ91" s="24"/>
      <c r="UFK91" s="24"/>
      <c r="UFL91" s="24"/>
      <c r="UFM91" s="24"/>
      <c r="UFN91" s="24"/>
      <c r="UFO91" s="24"/>
      <c r="UFP91" s="24"/>
      <c r="UFQ91" s="24"/>
      <c r="UFR91" s="24"/>
      <c r="UFS91" s="24"/>
      <c r="UFT91" s="24"/>
      <c r="UFU91" s="24"/>
      <c r="UFV91" s="24"/>
      <c r="UFW91" s="24"/>
      <c r="UFX91" s="24"/>
      <c r="UFY91" s="24"/>
      <c r="UFZ91" s="24"/>
      <c r="UGA91" s="24"/>
      <c r="UGB91" s="24"/>
      <c r="UGC91" s="24"/>
      <c r="UGD91" s="24"/>
      <c r="UGE91" s="24"/>
      <c r="UGF91" s="24"/>
      <c r="UGG91" s="24"/>
      <c r="UGH91" s="24"/>
      <c r="UGI91" s="24"/>
      <c r="UGJ91" s="24"/>
      <c r="UGK91" s="24"/>
      <c r="UGL91" s="24"/>
      <c r="UGM91" s="24"/>
      <c r="UGN91" s="24"/>
      <c r="UGO91" s="24"/>
      <c r="UGP91" s="24"/>
      <c r="UGQ91" s="24"/>
      <c r="UGR91" s="24"/>
      <c r="UGS91" s="24"/>
      <c r="UGT91" s="24"/>
      <c r="UGU91" s="24"/>
      <c r="UGV91" s="24"/>
      <c r="UGW91" s="24"/>
      <c r="UGX91" s="24"/>
      <c r="UGY91" s="24"/>
      <c r="UGZ91" s="24"/>
      <c r="UHA91" s="24"/>
      <c r="UHB91" s="24"/>
      <c r="UHC91" s="24"/>
      <c r="UHD91" s="24"/>
      <c r="UHE91" s="24"/>
      <c r="UHF91" s="24"/>
      <c r="UHG91" s="24"/>
      <c r="UHH91" s="24"/>
      <c r="UHI91" s="24"/>
      <c r="UHJ91" s="24"/>
      <c r="UHK91" s="24"/>
      <c r="UHL91" s="24"/>
      <c r="UHM91" s="24"/>
      <c r="UHN91" s="24"/>
      <c r="UHO91" s="24"/>
      <c r="UHP91" s="24"/>
      <c r="UHQ91" s="24"/>
      <c r="UHR91" s="24"/>
      <c r="UHS91" s="24"/>
      <c r="UHT91" s="24"/>
      <c r="UHU91" s="24"/>
      <c r="UHV91" s="24"/>
      <c r="UHW91" s="24"/>
      <c r="UHX91" s="24"/>
      <c r="UHY91" s="24"/>
      <c r="UHZ91" s="24"/>
      <c r="UIA91" s="24"/>
      <c r="UIB91" s="24"/>
      <c r="UIC91" s="24"/>
      <c r="UID91" s="24"/>
      <c r="UIE91" s="24"/>
      <c r="UIF91" s="24"/>
      <c r="UIG91" s="24"/>
      <c r="UIH91" s="24"/>
      <c r="UII91" s="24"/>
      <c r="UIJ91" s="24"/>
      <c r="UIK91" s="24"/>
      <c r="UIL91" s="24"/>
      <c r="UIM91" s="24"/>
      <c r="UIN91" s="24"/>
      <c r="UIO91" s="24"/>
      <c r="UIP91" s="24"/>
      <c r="UIQ91" s="24"/>
      <c r="UIR91" s="24"/>
      <c r="UIS91" s="24"/>
      <c r="UIT91" s="24"/>
      <c r="UIU91" s="24"/>
      <c r="UIV91" s="24"/>
      <c r="UIW91" s="24"/>
      <c r="UIX91" s="24"/>
      <c r="UIY91" s="24"/>
      <c r="UIZ91" s="24"/>
      <c r="UJA91" s="24"/>
      <c r="UJB91" s="24"/>
      <c r="UJC91" s="24"/>
      <c r="UJD91" s="24"/>
      <c r="UJE91" s="24"/>
      <c r="UJF91" s="24"/>
      <c r="UJG91" s="24"/>
      <c r="UJH91" s="24"/>
      <c r="UJI91" s="24"/>
      <c r="UJJ91" s="24"/>
      <c r="UJK91" s="24"/>
      <c r="UJL91" s="24"/>
      <c r="UJM91" s="24"/>
      <c r="UJN91" s="24"/>
      <c r="UJO91" s="24"/>
      <c r="UJP91" s="24"/>
      <c r="UJQ91" s="24"/>
      <c r="UJR91" s="24"/>
      <c r="UJS91" s="24"/>
      <c r="UJT91" s="24"/>
      <c r="UJU91" s="24"/>
      <c r="UJV91" s="24"/>
      <c r="UJW91" s="24"/>
      <c r="UJX91" s="24"/>
      <c r="UJY91" s="24"/>
      <c r="UJZ91" s="24"/>
      <c r="UKA91" s="24"/>
      <c r="UKB91" s="24"/>
      <c r="UKC91" s="24"/>
      <c r="UKD91" s="24"/>
      <c r="UKE91" s="24"/>
      <c r="UKF91" s="24"/>
      <c r="UKG91" s="24"/>
      <c r="UKH91" s="24"/>
      <c r="UKI91" s="24"/>
      <c r="UKJ91" s="24"/>
      <c r="UKK91" s="24"/>
      <c r="UKL91" s="24"/>
      <c r="UKM91" s="24"/>
      <c r="UKN91" s="24"/>
      <c r="UKO91" s="24"/>
      <c r="UKP91" s="24"/>
      <c r="UKQ91" s="24"/>
      <c r="UKR91" s="24"/>
      <c r="UKS91" s="24"/>
      <c r="UKT91" s="24"/>
      <c r="UKU91" s="24"/>
      <c r="UKV91" s="24"/>
      <c r="UKW91" s="24"/>
      <c r="UKX91" s="24"/>
      <c r="UKY91" s="24"/>
      <c r="UKZ91" s="24"/>
      <c r="ULA91" s="24"/>
      <c r="ULB91" s="24"/>
      <c r="ULC91" s="24"/>
      <c r="ULD91" s="24"/>
      <c r="ULE91" s="24"/>
      <c r="ULF91" s="24"/>
      <c r="ULG91" s="24"/>
      <c r="ULH91" s="24"/>
      <c r="ULI91" s="24"/>
      <c r="ULJ91" s="24"/>
      <c r="ULK91" s="24"/>
      <c r="ULL91" s="24"/>
      <c r="ULM91" s="24"/>
      <c r="ULN91" s="24"/>
      <c r="ULO91" s="24"/>
      <c r="ULP91" s="24"/>
      <c r="ULQ91" s="24"/>
      <c r="ULR91" s="24"/>
      <c r="ULS91" s="24"/>
      <c r="ULT91" s="24"/>
      <c r="ULU91" s="24"/>
      <c r="ULV91" s="24"/>
      <c r="ULW91" s="24"/>
      <c r="ULX91" s="24"/>
      <c r="ULY91" s="24"/>
      <c r="ULZ91" s="24"/>
      <c r="UMA91" s="24"/>
      <c r="UMB91" s="24"/>
      <c r="UMC91" s="24"/>
      <c r="UMD91" s="24"/>
      <c r="UME91" s="24"/>
      <c r="UMF91" s="24"/>
      <c r="UMG91" s="24"/>
      <c r="UMH91" s="24"/>
      <c r="UMI91" s="24"/>
      <c r="UMJ91" s="24"/>
      <c r="UMK91" s="24"/>
      <c r="UML91" s="24"/>
      <c r="UMM91" s="24"/>
      <c r="UMN91" s="24"/>
      <c r="UMO91" s="24"/>
      <c r="UMP91" s="24"/>
      <c r="UMQ91" s="24"/>
      <c r="UMR91" s="24"/>
      <c r="UMS91" s="24"/>
      <c r="UMT91" s="24"/>
      <c r="UMU91" s="24"/>
      <c r="UMV91" s="24"/>
      <c r="UMW91" s="24"/>
      <c r="UMX91" s="24"/>
      <c r="UMY91" s="24"/>
      <c r="UMZ91" s="24"/>
      <c r="UNA91" s="24"/>
      <c r="UNB91" s="24"/>
      <c r="UNC91" s="24"/>
      <c r="UND91" s="24"/>
      <c r="UNE91" s="24"/>
      <c r="UNF91" s="24"/>
      <c r="UNG91" s="24"/>
      <c r="UNH91" s="24"/>
      <c r="UNI91" s="24"/>
      <c r="UNJ91" s="24"/>
      <c r="UNK91" s="24"/>
      <c r="UNL91" s="24"/>
      <c r="UNM91" s="24"/>
      <c r="UNN91" s="24"/>
      <c r="UNO91" s="24"/>
      <c r="UNP91" s="24"/>
      <c r="UNQ91" s="24"/>
      <c r="UNR91" s="24"/>
      <c r="UNS91" s="24"/>
      <c r="UNT91" s="24"/>
      <c r="UNU91" s="24"/>
      <c r="UNV91" s="24"/>
      <c r="UNW91" s="24"/>
      <c r="UNX91" s="24"/>
      <c r="UNY91" s="24"/>
      <c r="UNZ91" s="24"/>
      <c r="UOA91" s="24"/>
      <c r="UOB91" s="24"/>
      <c r="UOC91" s="24"/>
      <c r="UOD91" s="24"/>
      <c r="UOE91" s="24"/>
      <c r="UOF91" s="24"/>
      <c r="UOG91" s="24"/>
      <c r="UOH91" s="24"/>
      <c r="UOI91" s="24"/>
      <c r="UOJ91" s="24"/>
      <c r="UOK91" s="24"/>
      <c r="UOL91" s="24"/>
      <c r="UOM91" s="24"/>
      <c r="UON91" s="24"/>
      <c r="UOO91" s="24"/>
      <c r="UOP91" s="24"/>
      <c r="UOQ91" s="24"/>
      <c r="UOR91" s="24"/>
      <c r="UOS91" s="24"/>
      <c r="UOT91" s="24"/>
      <c r="UOU91" s="24"/>
      <c r="UOV91" s="24"/>
      <c r="UOW91" s="24"/>
      <c r="UOX91" s="24"/>
      <c r="UOY91" s="24"/>
      <c r="UOZ91" s="24"/>
      <c r="UPA91" s="24"/>
      <c r="UPB91" s="24"/>
      <c r="UPC91" s="24"/>
      <c r="UPD91" s="24"/>
      <c r="UPE91" s="24"/>
      <c r="UPF91" s="24"/>
      <c r="UPG91" s="24"/>
      <c r="UPH91" s="24"/>
      <c r="UPI91" s="24"/>
      <c r="UPJ91" s="24"/>
      <c r="UPK91" s="24"/>
      <c r="UPL91" s="24"/>
      <c r="UPM91" s="24"/>
      <c r="UPN91" s="24"/>
      <c r="UPO91" s="24"/>
      <c r="UPP91" s="24"/>
      <c r="UPQ91" s="24"/>
      <c r="UPR91" s="24"/>
      <c r="UPS91" s="24"/>
      <c r="UPT91" s="24"/>
      <c r="UPU91" s="24"/>
      <c r="UPV91" s="24"/>
      <c r="UPW91" s="24"/>
      <c r="UPX91" s="24"/>
      <c r="UPY91" s="24"/>
      <c r="UPZ91" s="24"/>
      <c r="UQA91" s="24"/>
      <c r="UQB91" s="24"/>
      <c r="UQC91" s="24"/>
      <c r="UQD91" s="24"/>
      <c r="UQE91" s="24"/>
      <c r="UQF91" s="24"/>
      <c r="UQG91" s="24"/>
      <c r="UQH91" s="24"/>
      <c r="UQI91" s="24"/>
      <c r="UQJ91" s="24"/>
      <c r="UQK91" s="24"/>
      <c r="UQL91" s="24"/>
      <c r="UQM91" s="24"/>
      <c r="UQN91" s="24"/>
      <c r="UQO91" s="24"/>
      <c r="UQP91" s="24"/>
      <c r="UQQ91" s="24"/>
      <c r="UQR91" s="24"/>
      <c r="UQS91" s="24"/>
      <c r="UQT91" s="24"/>
      <c r="UQU91" s="24"/>
      <c r="UQV91" s="24"/>
      <c r="UQW91" s="24"/>
      <c r="UQX91" s="24"/>
      <c r="UQY91" s="24"/>
      <c r="UQZ91" s="24"/>
      <c r="URA91" s="24"/>
      <c r="URB91" s="24"/>
      <c r="URC91" s="24"/>
      <c r="URD91" s="24"/>
      <c r="URE91" s="24"/>
      <c r="URF91" s="24"/>
      <c r="URG91" s="24"/>
      <c r="URH91" s="24"/>
      <c r="URI91" s="24"/>
      <c r="URJ91" s="24"/>
      <c r="URK91" s="24"/>
      <c r="URL91" s="24"/>
      <c r="URM91" s="24"/>
      <c r="URN91" s="24"/>
      <c r="URO91" s="24"/>
      <c r="URP91" s="24"/>
      <c r="URQ91" s="24"/>
      <c r="URR91" s="24"/>
      <c r="URS91" s="24"/>
      <c r="URT91" s="24"/>
      <c r="URU91" s="24"/>
      <c r="URV91" s="24"/>
      <c r="URW91" s="24"/>
      <c r="URX91" s="24"/>
      <c r="URY91" s="24"/>
      <c r="URZ91" s="24"/>
      <c r="USA91" s="24"/>
      <c r="USB91" s="24"/>
      <c r="USC91" s="24"/>
      <c r="USD91" s="24"/>
      <c r="USE91" s="24"/>
      <c r="USF91" s="24"/>
      <c r="USG91" s="24"/>
      <c r="USH91" s="24"/>
      <c r="USI91" s="24"/>
      <c r="USJ91" s="24"/>
      <c r="USK91" s="24"/>
      <c r="USL91" s="24"/>
      <c r="USM91" s="24"/>
      <c r="USN91" s="24"/>
      <c r="USO91" s="24"/>
      <c r="USP91" s="24"/>
      <c r="USQ91" s="24"/>
      <c r="USR91" s="24"/>
      <c r="USS91" s="24"/>
      <c r="UST91" s="24"/>
      <c r="USU91" s="24"/>
      <c r="USV91" s="24"/>
      <c r="USW91" s="24"/>
      <c r="USX91" s="24"/>
      <c r="USY91" s="24"/>
      <c r="USZ91" s="24"/>
      <c r="UTA91" s="24"/>
      <c r="UTB91" s="24"/>
      <c r="UTC91" s="24"/>
      <c r="UTD91" s="24"/>
      <c r="UTE91" s="24"/>
      <c r="UTF91" s="24"/>
      <c r="UTG91" s="24"/>
      <c r="UTH91" s="24"/>
      <c r="UTI91" s="24"/>
      <c r="UTJ91" s="24"/>
      <c r="UTK91" s="24"/>
      <c r="UTL91" s="24"/>
      <c r="UTM91" s="24"/>
      <c r="UTN91" s="24"/>
      <c r="UTO91" s="24"/>
      <c r="UTP91" s="24"/>
      <c r="UTQ91" s="24"/>
      <c r="UTR91" s="24"/>
      <c r="UTS91" s="24"/>
      <c r="UTT91" s="24"/>
      <c r="UTU91" s="24"/>
      <c r="UTV91" s="24"/>
      <c r="UTW91" s="24"/>
      <c r="UTX91" s="24"/>
      <c r="UTY91" s="24"/>
      <c r="UTZ91" s="24"/>
      <c r="UUA91" s="24"/>
      <c r="UUB91" s="24"/>
      <c r="UUC91" s="24"/>
      <c r="UUD91" s="24"/>
      <c r="UUE91" s="24"/>
      <c r="UUF91" s="24"/>
      <c r="UUG91" s="24"/>
      <c r="UUH91" s="24"/>
      <c r="UUI91" s="24"/>
      <c r="UUJ91" s="24"/>
      <c r="UUK91" s="24"/>
      <c r="UUL91" s="24"/>
      <c r="UUM91" s="24"/>
      <c r="UUN91" s="24"/>
      <c r="UUO91" s="24"/>
      <c r="UUP91" s="24"/>
      <c r="UUQ91" s="24"/>
      <c r="UUR91" s="24"/>
      <c r="UUS91" s="24"/>
      <c r="UUT91" s="24"/>
      <c r="UUU91" s="24"/>
      <c r="UUV91" s="24"/>
      <c r="UUW91" s="24"/>
      <c r="UUX91" s="24"/>
      <c r="UUY91" s="24"/>
      <c r="UUZ91" s="24"/>
      <c r="UVA91" s="24"/>
      <c r="UVB91" s="24"/>
      <c r="UVC91" s="24"/>
      <c r="UVD91" s="24"/>
      <c r="UVE91" s="24"/>
      <c r="UVF91" s="24"/>
      <c r="UVG91" s="24"/>
      <c r="UVH91" s="24"/>
      <c r="UVI91" s="24"/>
      <c r="UVJ91" s="24"/>
      <c r="UVK91" s="24"/>
      <c r="UVL91" s="24"/>
      <c r="UVM91" s="24"/>
      <c r="UVN91" s="24"/>
      <c r="UVO91" s="24"/>
      <c r="UVP91" s="24"/>
      <c r="UVQ91" s="24"/>
      <c r="UVR91" s="24"/>
      <c r="UVS91" s="24"/>
      <c r="UVT91" s="24"/>
      <c r="UVU91" s="24"/>
      <c r="UVV91" s="24"/>
      <c r="UVW91" s="24"/>
      <c r="UVX91" s="24"/>
      <c r="UVY91" s="24"/>
      <c r="UVZ91" s="24"/>
      <c r="UWA91" s="24"/>
      <c r="UWB91" s="24"/>
      <c r="UWC91" s="24"/>
      <c r="UWD91" s="24"/>
      <c r="UWE91" s="24"/>
      <c r="UWF91" s="24"/>
      <c r="UWG91" s="24"/>
      <c r="UWH91" s="24"/>
      <c r="UWI91" s="24"/>
      <c r="UWJ91" s="24"/>
      <c r="UWK91" s="24"/>
      <c r="UWL91" s="24"/>
      <c r="UWM91" s="24"/>
      <c r="UWN91" s="24"/>
      <c r="UWO91" s="24"/>
      <c r="UWP91" s="24"/>
      <c r="UWQ91" s="24"/>
      <c r="UWR91" s="24"/>
      <c r="UWS91" s="24"/>
      <c r="UWT91" s="24"/>
      <c r="UWU91" s="24"/>
      <c r="UWV91" s="24"/>
      <c r="UWW91" s="24"/>
      <c r="UWX91" s="24"/>
      <c r="UWY91" s="24"/>
      <c r="UWZ91" s="24"/>
      <c r="UXA91" s="24"/>
      <c r="UXB91" s="24"/>
      <c r="UXC91" s="24"/>
      <c r="UXD91" s="24"/>
      <c r="UXE91" s="24"/>
      <c r="UXF91" s="24"/>
      <c r="UXG91" s="24"/>
      <c r="UXH91" s="24"/>
      <c r="UXI91" s="24"/>
      <c r="UXJ91" s="24"/>
      <c r="UXK91" s="24"/>
      <c r="UXL91" s="24"/>
      <c r="UXM91" s="24"/>
      <c r="UXN91" s="24"/>
      <c r="UXO91" s="24"/>
      <c r="UXP91" s="24"/>
      <c r="UXQ91" s="24"/>
      <c r="UXR91" s="24"/>
      <c r="UXS91" s="24"/>
      <c r="UXT91" s="24"/>
      <c r="UXU91" s="24"/>
      <c r="UXV91" s="24"/>
      <c r="UXW91" s="24"/>
      <c r="UXX91" s="24"/>
      <c r="UXY91" s="24"/>
      <c r="UXZ91" s="24"/>
      <c r="UYA91" s="24"/>
      <c r="UYB91" s="24"/>
      <c r="UYC91" s="24"/>
      <c r="UYD91" s="24"/>
      <c r="UYE91" s="24"/>
      <c r="UYF91" s="24"/>
      <c r="UYG91" s="24"/>
      <c r="UYH91" s="24"/>
      <c r="UYI91" s="24"/>
      <c r="UYJ91" s="24"/>
      <c r="UYK91" s="24"/>
      <c r="UYL91" s="24"/>
      <c r="UYM91" s="24"/>
      <c r="UYN91" s="24"/>
      <c r="UYO91" s="24"/>
      <c r="UYP91" s="24"/>
      <c r="UYQ91" s="24"/>
      <c r="UYR91" s="24"/>
      <c r="UYS91" s="24"/>
      <c r="UYT91" s="24"/>
      <c r="UYU91" s="24"/>
      <c r="UYV91" s="24"/>
      <c r="UYW91" s="24"/>
      <c r="UYX91" s="24"/>
      <c r="UYY91" s="24"/>
      <c r="UYZ91" s="24"/>
      <c r="UZA91" s="24"/>
      <c r="UZB91" s="24"/>
      <c r="UZC91" s="24"/>
      <c r="UZD91" s="24"/>
      <c r="UZE91" s="24"/>
      <c r="UZF91" s="24"/>
      <c r="UZG91" s="24"/>
      <c r="UZH91" s="24"/>
      <c r="UZI91" s="24"/>
      <c r="UZJ91" s="24"/>
      <c r="UZK91" s="24"/>
      <c r="UZL91" s="24"/>
      <c r="UZM91" s="24"/>
      <c r="UZN91" s="24"/>
      <c r="UZO91" s="24"/>
      <c r="UZP91" s="24"/>
      <c r="UZQ91" s="24"/>
      <c r="UZR91" s="24"/>
      <c r="UZS91" s="24"/>
      <c r="UZT91" s="24"/>
      <c r="UZU91" s="24"/>
      <c r="UZV91" s="24"/>
      <c r="UZW91" s="24"/>
      <c r="UZX91" s="24"/>
      <c r="UZY91" s="24"/>
      <c r="UZZ91" s="24"/>
      <c r="VAA91" s="24"/>
      <c r="VAB91" s="24"/>
      <c r="VAC91" s="24"/>
      <c r="VAD91" s="24"/>
      <c r="VAE91" s="24"/>
      <c r="VAF91" s="24"/>
      <c r="VAG91" s="24"/>
      <c r="VAH91" s="24"/>
      <c r="VAI91" s="24"/>
      <c r="VAJ91" s="24"/>
      <c r="VAK91" s="24"/>
      <c r="VAL91" s="24"/>
      <c r="VAM91" s="24"/>
      <c r="VAN91" s="24"/>
      <c r="VAO91" s="24"/>
      <c r="VAP91" s="24"/>
      <c r="VAQ91" s="24"/>
      <c r="VAR91" s="24"/>
      <c r="VAS91" s="24"/>
      <c r="VAT91" s="24"/>
      <c r="VAU91" s="24"/>
      <c r="VAV91" s="24"/>
      <c r="VAW91" s="24"/>
      <c r="VAX91" s="24"/>
      <c r="VAY91" s="24"/>
      <c r="VAZ91" s="24"/>
      <c r="VBA91" s="24"/>
      <c r="VBB91" s="24"/>
      <c r="VBC91" s="24"/>
      <c r="VBD91" s="24"/>
      <c r="VBE91" s="24"/>
      <c r="VBF91" s="24"/>
      <c r="VBG91" s="24"/>
      <c r="VBH91" s="24"/>
      <c r="VBI91" s="24"/>
      <c r="VBJ91" s="24"/>
      <c r="VBK91" s="24"/>
      <c r="VBL91" s="24"/>
      <c r="VBM91" s="24"/>
      <c r="VBN91" s="24"/>
      <c r="VBO91" s="24"/>
      <c r="VBP91" s="24"/>
      <c r="VBQ91" s="24"/>
      <c r="VBR91" s="24"/>
      <c r="VBS91" s="24"/>
      <c r="VBT91" s="24"/>
      <c r="VBU91" s="24"/>
      <c r="VBV91" s="24"/>
      <c r="VBW91" s="24"/>
      <c r="VBX91" s="24"/>
      <c r="VBY91" s="24"/>
      <c r="VBZ91" s="24"/>
      <c r="VCA91" s="24"/>
      <c r="VCB91" s="24"/>
      <c r="VCC91" s="24"/>
      <c r="VCD91" s="24"/>
      <c r="VCE91" s="24"/>
      <c r="VCF91" s="24"/>
      <c r="VCG91" s="24"/>
      <c r="VCH91" s="24"/>
      <c r="VCI91" s="24"/>
      <c r="VCJ91" s="24"/>
      <c r="VCK91" s="24"/>
      <c r="VCL91" s="24"/>
      <c r="VCM91" s="24"/>
      <c r="VCN91" s="24"/>
      <c r="VCO91" s="24"/>
      <c r="VCP91" s="24"/>
      <c r="VCQ91" s="24"/>
      <c r="VCR91" s="24"/>
      <c r="VCS91" s="24"/>
      <c r="VCT91" s="24"/>
      <c r="VCU91" s="24"/>
      <c r="VCV91" s="24"/>
      <c r="VCW91" s="24"/>
      <c r="VCX91" s="24"/>
      <c r="VCY91" s="24"/>
      <c r="VCZ91" s="24"/>
      <c r="VDA91" s="24"/>
      <c r="VDB91" s="24"/>
      <c r="VDC91" s="24"/>
      <c r="VDD91" s="24"/>
      <c r="VDE91" s="24"/>
      <c r="VDF91" s="24"/>
      <c r="VDG91" s="24"/>
      <c r="VDH91" s="24"/>
      <c r="VDI91" s="24"/>
      <c r="VDJ91" s="24"/>
      <c r="VDK91" s="24"/>
      <c r="VDL91" s="24"/>
      <c r="VDM91" s="24"/>
      <c r="VDN91" s="24"/>
      <c r="VDO91" s="24"/>
      <c r="VDP91" s="24"/>
      <c r="VDQ91" s="24"/>
      <c r="VDR91" s="24"/>
      <c r="VDS91" s="24"/>
      <c r="VDT91" s="24"/>
      <c r="VDU91" s="24"/>
      <c r="VDV91" s="24"/>
      <c r="VDW91" s="24"/>
      <c r="VDX91" s="24"/>
      <c r="VDY91" s="24"/>
      <c r="VDZ91" s="24"/>
      <c r="VEA91" s="24"/>
      <c r="VEB91" s="24"/>
      <c r="VEC91" s="24"/>
      <c r="VED91" s="24"/>
      <c r="VEE91" s="24"/>
      <c r="VEF91" s="24"/>
      <c r="VEG91" s="24"/>
      <c r="VEH91" s="24"/>
      <c r="VEI91" s="24"/>
      <c r="VEJ91" s="24"/>
      <c r="VEK91" s="24"/>
      <c r="VEL91" s="24"/>
      <c r="VEM91" s="24"/>
      <c r="VEN91" s="24"/>
      <c r="VEO91" s="24"/>
      <c r="VEP91" s="24"/>
      <c r="VEQ91" s="24"/>
      <c r="VER91" s="24"/>
      <c r="VES91" s="24"/>
      <c r="VET91" s="24"/>
      <c r="VEU91" s="24"/>
      <c r="VEV91" s="24"/>
      <c r="VEW91" s="24"/>
      <c r="VEX91" s="24"/>
      <c r="VEY91" s="24"/>
      <c r="VEZ91" s="24"/>
      <c r="VFA91" s="24"/>
      <c r="VFB91" s="24"/>
      <c r="VFC91" s="24"/>
      <c r="VFD91" s="24"/>
      <c r="VFE91" s="24"/>
      <c r="VFF91" s="24"/>
      <c r="VFG91" s="24"/>
      <c r="VFH91" s="24"/>
      <c r="VFI91" s="24"/>
      <c r="VFJ91" s="24"/>
      <c r="VFK91" s="24"/>
      <c r="VFL91" s="24"/>
      <c r="VFM91" s="24"/>
      <c r="VFN91" s="24"/>
      <c r="VFO91" s="24"/>
      <c r="VFP91" s="24"/>
      <c r="VFQ91" s="24"/>
      <c r="VFR91" s="24"/>
      <c r="VFS91" s="24"/>
      <c r="VFT91" s="24"/>
      <c r="VFU91" s="24"/>
      <c r="VFV91" s="24"/>
      <c r="VFW91" s="24"/>
      <c r="VFX91" s="24"/>
      <c r="VFY91" s="24"/>
      <c r="VFZ91" s="24"/>
      <c r="VGA91" s="24"/>
      <c r="VGB91" s="24"/>
      <c r="VGC91" s="24"/>
      <c r="VGD91" s="24"/>
      <c r="VGE91" s="24"/>
      <c r="VGF91" s="24"/>
      <c r="VGG91" s="24"/>
      <c r="VGH91" s="24"/>
      <c r="VGI91" s="24"/>
      <c r="VGJ91" s="24"/>
      <c r="VGK91" s="24"/>
      <c r="VGL91" s="24"/>
      <c r="VGM91" s="24"/>
      <c r="VGN91" s="24"/>
      <c r="VGO91" s="24"/>
      <c r="VGP91" s="24"/>
      <c r="VGQ91" s="24"/>
      <c r="VGR91" s="24"/>
      <c r="VGS91" s="24"/>
      <c r="VGT91" s="24"/>
      <c r="VGU91" s="24"/>
      <c r="VGV91" s="24"/>
      <c r="VGW91" s="24"/>
      <c r="VGX91" s="24"/>
      <c r="VGY91" s="24"/>
      <c r="VGZ91" s="24"/>
      <c r="VHA91" s="24"/>
      <c r="VHB91" s="24"/>
      <c r="VHC91" s="24"/>
      <c r="VHD91" s="24"/>
      <c r="VHE91" s="24"/>
      <c r="VHF91" s="24"/>
      <c r="VHG91" s="24"/>
      <c r="VHH91" s="24"/>
      <c r="VHI91" s="24"/>
      <c r="VHJ91" s="24"/>
      <c r="VHK91" s="24"/>
      <c r="VHL91" s="24"/>
      <c r="VHM91" s="24"/>
      <c r="VHN91" s="24"/>
      <c r="VHO91" s="24"/>
      <c r="VHP91" s="24"/>
      <c r="VHQ91" s="24"/>
      <c r="VHR91" s="24"/>
      <c r="VHS91" s="24"/>
      <c r="VHT91" s="24"/>
      <c r="VHU91" s="24"/>
      <c r="VHV91" s="24"/>
      <c r="VHW91" s="24"/>
      <c r="VHX91" s="24"/>
      <c r="VHY91" s="24"/>
      <c r="VHZ91" s="24"/>
      <c r="VIA91" s="24"/>
      <c r="VIB91" s="24"/>
      <c r="VIC91" s="24"/>
      <c r="VID91" s="24"/>
      <c r="VIE91" s="24"/>
      <c r="VIF91" s="24"/>
      <c r="VIG91" s="24"/>
      <c r="VIH91" s="24"/>
      <c r="VII91" s="24"/>
      <c r="VIJ91" s="24"/>
      <c r="VIK91" s="24"/>
      <c r="VIL91" s="24"/>
      <c r="VIM91" s="24"/>
      <c r="VIN91" s="24"/>
      <c r="VIO91" s="24"/>
      <c r="VIP91" s="24"/>
      <c r="VIQ91" s="24"/>
      <c r="VIR91" s="24"/>
      <c r="VIS91" s="24"/>
      <c r="VIT91" s="24"/>
      <c r="VIU91" s="24"/>
      <c r="VIV91" s="24"/>
      <c r="VIW91" s="24"/>
      <c r="VIX91" s="24"/>
      <c r="VIY91" s="24"/>
      <c r="VIZ91" s="24"/>
      <c r="VJA91" s="24"/>
      <c r="VJB91" s="24"/>
      <c r="VJC91" s="24"/>
      <c r="VJD91" s="24"/>
      <c r="VJE91" s="24"/>
      <c r="VJF91" s="24"/>
      <c r="VJG91" s="24"/>
      <c r="VJH91" s="24"/>
      <c r="VJI91" s="24"/>
      <c r="VJJ91" s="24"/>
      <c r="VJK91" s="24"/>
      <c r="VJL91" s="24"/>
      <c r="VJM91" s="24"/>
      <c r="VJN91" s="24"/>
      <c r="VJO91" s="24"/>
      <c r="VJP91" s="24"/>
      <c r="VJQ91" s="24"/>
      <c r="VJR91" s="24"/>
      <c r="VJS91" s="24"/>
      <c r="VJT91" s="24"/>
      <c r="VJU91" s="24"/>
      <c r="VJV91" s="24"/>
      <c r="VJW91" s="24"/>
      <c r="VJX91" s="24"/>
      <c r="VJY91" s="24"/>
      <c r="VJZ91" s="24"/>
      <c r="VKA91" s="24"/>
      <c r="VKB91" s="24"/>
      <c r="VKC91" s="24"/>
      <c r="VKD91" s="24"/>
      <c r="VKE91" s="24"/>
      <c r="VKF91" s="24"/>
      <c r="VKG91" s="24"/>
      <c r="VKH91" s="24"/>
      <c r="VKI91" s="24"/>
      <c r="VKJ91" s="24"/>
      <c r="VKK91" s="24"/>
      <c r="VKL91" s="24"/>
      <c r="VKM91" s="24"/>
      <c r="VKN91" s="24"/>
      <c r="VKO91" s="24"/>
      <c r="VKP91" s="24"/>
      <c r="VKQ91" s="24"/>
      <c r="VKR91" s="24"/>
      <c r="VKS91" s="24"/>
      <c r="VKT91" s="24"/>
      <c r="VKU91" s="24"/>
      <c r="VKV91" s="24"/>
      <c r="VKW91" s="24"/>
      <c r="VKX91" s="24"/>
      <c r="VKY91" s="24"/>
      <c r="VKZ91" s="24"/>
      <c r="VLA91" s="24"/>
      <c r="VLB91" s="24"/>
      <c r="VLC91" s="24"/>
      <c r="VLD91" s="24"/>
      <c r="VLE91" s="24"/>
      <c r="VLF91" s="24"/>
      <c r="VLG91" s="24"/>
      <c r="VLH91" s="24"/>
      <c r="VLI91" s="24"/>
      <c r="VLJ91" s="24"/>
      <c r="VLK91" s="24"/>
      <c r="VLL91" s="24"/>
      <c r="VLM91" s="24"/>
      <c r="VLN91" s="24"/>
      <c r="VLO91" s="24"/>
      <c r="VLP91" s="24"/>
      <c r="VLQ91" s="24"/>
      <c r="VLR91" s="24"/>
      <c r="VLS91" s="24"/>
      <c r="VLT91" s="24"/>
      <c r="VLU91" s="24"/>
      <c r="VLV91" s="24"/>
      <c r="VLW91" s="24"/>
      <c r="VLX91" s="24"/>
      <c r="VLY91" s="24"/>
      <c r="VLZ91" s="24"/>
      <c r="VMA91" s="24"/>
      <c r="VMB91" s="24"/>
      <c r="VMC91" s="24"/>
      <c r="VMD91" s="24"/>
      <c r="VME91" s="24"/>
      <c r="VMF91" s="24"/>
      <c r="VMG91" s="24"/>
      <c r="VMH91" s="24"/>
      <c r="VMI91" s="24"/>
      <c r="VMJ91" s="24"/>
      <c r="VMK91" s="24"/>
      <c r="VML91" s="24"/>
      <c r="VMM91" s="24"/>
      <c r="VMN91" s="24"/>
      <c r="VMO91" s="24"/>
      <c r="VMP91" s="24"/>
      <c r="VMQ91" s="24"/>
      <c r="VMR91" s="24"/>
      <c r="VMS91" s="24"/>
      <c r="VMT91" s="24"/>
      <c r="VMU91" s="24"/>
      <c r="VMV91" s="24"/>
      <c r="VMW91" s="24"/>
      <c r="VMX91" s="24"/>
      <c r="VMY91" s="24"/>
      <c r="VMZ91" s="24"/>
      <c r="VNA91" s="24"/>
      <c r="VNB91" s="24"/>
      <c r="VNC91" s="24"/>
      <c r="VND91" s="24"/>
      <c r="VNE91" s="24"/>
      <c r="VNF91" s="24"/>
      <c r="VNG91" s="24"/>
      <c r="VNH91" s="24"/>
      <c r="VNI91" s="24"/>
      <c r="VNJ91" s="24"/>
      <c r="VNK91" s="24"/>
      <c r="VNL91" s="24"/>
      <c r="VNM91" s="24"/>
      <c r="VNN91" s="24"/>
      <c r="VNO91" s="24"/>
      <c r="VNP91" s="24"/>
      <c r="VNQ91" s="24"/>
      <c r="VNR91" s="24"/>
      <c r="VNS91" s="24"/>
      <c r="VNT91" s="24"/>
      <c r="VNU91" s="24"/>
      <c r="VNV91" s="24"/>
      <c r="VNW91" s="24"/>
      <c r="VNX91" s="24"/>
      <c r="VNY91" s="24"/>
      <c r="VNZ91" s="24"/>
      <c r="VOA91" s="24"/>
      <c r="VOB91" s="24"/>
      <c r="VOC91" s="24"/>
      <c r="VOD91" s="24"/>
      <c r="VOE91" s="24"/>
      <c r="VOF91" s="24"/>
      <c r="VOG91" s="24"/>
      <c r="VOH91" s="24"/>
      <c r="VOI91" s="24"/>
      <c r="VOJ91" s="24"/>
      <c r="VOK91" s="24"/>
      <c r="VOL91" s="24"/>
      <c r="VOM91" s="24"/>
      <c r="VON91" s="24"/>
      <c r="VOO91" s="24"/>
      <c r="VOP91" s="24"/>
      <c r="VOQ91" s="24"/>
      <c r="VOR91" s="24"/>
      <c r="VOS91" s="24"/>
      <c r="VOT91" s="24"/>
      <c r="VOU91" s="24"/>
      <c r="VOV91" s="24"/>
      <c r="VOW91" s="24"/>
      <c r="VOX91" s="24"/>
      <c r="VOY91" s="24"/>
      <c r="VOZ91" s="24"/>
      <c r="VPA91" s="24"/>
      <c r="VPB91" s="24"/>
      <c r="VPC91" s="24"/>
      <c r="VPD91" s="24"/>
      <c r="VPE91" s="24"/>
      <c r="VPF91" s="24"/>
      <c r="VPG91" s="24"/>
      <c r="VPH91" s="24"/>
      <c r="VPI91" s="24"/>
      <c r="VPJ91" s="24"/>
      <c r="VPK91" s="24"/>
      <c r="VPL91" s="24"/>
      <c r="VPM91" s="24"/>
      <c r="VPN91" s="24"/>
      <c r="VPO91" s="24"/>
      <c r="VPP91" s="24"/>
      <c r="VPQ91" s="24"/>
      <c r="VPR91" s="24"/>
      <c r="VPS91" s="24"/>
      <c r="VPT91" s="24"/>
      <c r="VPU91" s="24"/>
      <c r="VPV91" s="24"/>
      <c r="VPW91" s="24"/>
      <c r="VPX91" s="24"/>
      <c r="VPY91" s="24"/>
      <c r="VPZ91" s="24"/>
      <c r="VQA91" s="24"/>
      <c r="VQB91" s="24"/>
      <c r="VQC91" s="24"/>
      <c r="VQD91" s="24"/>
      <c r="VQE91" s="24"/>
      <c r="VQF91" s="24"/>
      <c r="VQG91" s="24"/>
      <c r="VQH91" s="24"/>
      <c r="VQI91" s="24"/>
      <c r="VQJ91" s="24"/>
      <c r="VQK91" s="24"/>
      <c r="VQL91" s="24"/>
      <c r="VQM91" s="24"/>
      <c r="VQN91" s="24"/>
      <c r="VQO91" s="24"/>
      <c r="VQP91" s="24"/>
      <c r="VQQ91" s="24"/>
      <c r="VQR91" s="24"/>
      <c r="VQS91" s="24"/>
      <c r="VQT91" s="24"/>
      <c r="VQU91" s="24"/>
      <c r="VQV91" s="24"/>
      <c r="VQW91" s="24"/>
      <c r="VQX91" s="24"/>
      <c r="VQY91" s="24"/>
      <c r="VQZ91" s="24"/>
      <c r="VRA91" s="24"/>
      <c r="VRB91" s="24"/>
      <c r="VRC91" s="24"/>
      <c r="VRD91" s="24"/>
      <c r="VRE91" s="24"/>
      <c r="VRF91" s="24"/>
      <c r="VRG91" s="24"/>
      <c r="VRH91" s="24"/>
      <c r="VRI91" s="24"/>
      <c r="VRJ91" s="24"/>
      <c r="VRK91" s="24"/>
      <c r="VRL91" s="24"/>
      <c r="VRM91" s="24"/>
      <c r="VRN91" s="24"/>
      <c r="VRO91" s="24"/>
      <c r="VRP91" s="24"/>
      <c r="VRQ91" s="24"/>
      <c r="VRR91" s="24"/>
      <c r="VRS91" s="24"/>
      <c r="VRT91" s="24"/>
      <c r="VRU91" s="24"/>
      <c r="VRV91" s="24"/>
      <c r="VRW91" s="24"/>
      <c r="VRX91" s="24"/>
      <c r="VRY91" s="24"/>
      <c r="VRZ91" s="24"/>
      <c r="VSA91" s="24"/>
      <c r="VSB91" s="24"/>
      <c r="VSC91" s="24"/>
      <c r="VSD91" s="24"/>
      <c r="VSE91" s="24"/>
      <c r="VSF91" s="24"/>
      <c r="VSG91" s="24"/>
      <c r="VSH91" s="24"/>
      <c r="VSI91" s="24"/>
      <c r="VSJ91" s="24"/>
      <c r="VSK91" s="24"/>
      <c r="VSL91" s="24"/>
      <c r="VSM91" s="24"/>
      <c r="VSN91" s="24"/>
      <c r="VSO91" s="24"/>
      <c r="VSP91" s="24"/>
      <c r="VSQ91" s="24"/>
      <c r="VSR91" s="24"/>
      <c r="VSS91" s="24"/>
      <c r="VST91" s="24"/>
      <c r="VSU91" s="24"/>
      <c r="VSV91" s="24"/>
      <c r="VSW91" s="24"/>
      <c r="VSX91" s="24"/>
      <c r="VSY91" s="24"/>
      <c r="VSZ91" s="24"/>
      <c r="VTA91" s="24"/>
      <c r="VTB91" s="24"/>
      <c r="VTC91" s="24"/>
      <c r="VTD91" s="24"/>
      <c r="VTE91" s="24"/>
      <c r="VTF91" s="24"/>
      <c r="VTG91" s="24"/>
      <c r="VTH91" s="24"/>
      <c r="VTI91" s="24"/>
      <c r="VTJ91" s="24"/>
      <c r="VTK91" s="24"/>
      <c r="VTL91" s="24"/>
      <c r="VTM91" s="24"/>
      <c r="VTN91" s="24"/>
      <c r="VTO91" s="24"/>
      <c r="VTP91" s="24"/>
      <c r="VTQ91" s="24"/>
      <c r="VTR91" s="24"/>
      <c r="VTS91" s="24"/>
      <c r="VTT91" s="24"/>
      <c r="VTU91" s="24"/>
      <c r="VTV91" s="24"/>
      <c r="VTW91" s="24"/>
      <c r="VTX91" s="24"/>
      <c r="VTY91" s="24"/>
      <c r="VTZ91" s="24"/>
      <c r="VUA91" s="24"/>
      <c r="VUB91" s="24"/>
      <c r="VUC91" s="24"/>
      <c r="VUD91" s="24"/>
      <c r="VUE91" s="24"/>
      <c r="VUF91" s="24"/>
      <c r="VUG91" s="24"/>
      <c r="VUH91" s="24"/>
      <c r="VUI91" s="24"/>
      <c r="VUJ91" s="24"/>
      <c r="VUK91" s="24"/>
      <c r="VUL91" s="24"/>
      <c r="VUM91" s="24"/>
      <c r="VUN91" s="24"/>
      <c r="VUO91" s="24"/>
      <c r="VUP91" s="24"/>
      <c r="VUQ91" s="24"/>
      <c r="VUR91" s="24"/>
      <c r="VUS91" s="24"/>
      <c r="VUT91" s="24"/>
      <c r="VUU91" s="24"/>
      <c r="VUV91" s="24"/>
      <c r="VUW91" s="24"/>
      <c r="VUX91" s="24"/>
      <c r="VUY91" s="24"/>
      <c r="VUZ91" s="24"/>
      <c r="VVA91" s="24"/>
      <c r="VVB91" s="24"/>
      <c r="VVC91" s="24"/>
      <c r="VVD91" s="24"/>
      <c r="VVE91" s="24"/>
      <c r="VVF91" s="24"/>
      <c r="VVG91" s="24"/>
      <c r="VVH91" s="24"/>
      <c r="VVI91" s="24"/>
      <c r="VVJ91" s="24"/>
      <c r="VVK91" s="24"/>
      <c r="VVL91" s="24"/>
      <c r="VVM91" s="24"/>
      <c r="VVN91" s="24"/>
      <c r="VVO91" s="24"/>
      <c r="VVP91" s="24"/>
      <c r="VVQ91" s="24"/>
      <c r="VVR91" s="24"/>
      <c r="VVS91" s="24"/>
      <c r="VVT91" s="24"/>
      <c r="VVU91" s="24"/>
      <c r="VVV91" s="24"/>
      <c r="VVW91" s="24"/>
      <c r="VVX91" s="24"/>
      <c r="VVY91" s="24"/>
      <c r="VVZ91" s="24"/>
      <c r="VWA91" s="24"/>
      <c r="VWB91" s="24"/>
      <c r="VWC91" s="24"/>
      <c r="VWD91" s="24"/>
      <c r="VWE91" s="24"/>
      <c r="VWF91" s="24"/>
      <c r="VWG91" s="24"/>
      <c r="VWH91" s="24"/>
      <c r="VWI91" s="24"/>
      <c r="VWJ91" s="24"/>
      <c r="VWK91" s="24"/>
      <c r="VWL91" s="24"/>
      <c r="VWM91" s="24"/>
      <c r="VWN91" s="24"/>
      <c r="VWO91" s="24"/>
      <c r="VWP91" s="24"/>
      <c r="VWQ91" s="24"/>
      <c r="VWR91" s="24"/>
      <c r="VWS91" s="24"/>
      <c r="VWT91" s="24"/>
      <c r="VWU91" s="24"/>
      <c r="VWV91" s="24"/>
      <c r="VWW91" s="24"/>
      <c r="VWX91" s="24"/>
      <c r="VWY91" s="24"/>
      <c r="VWZ91" s="24"/>
      <c r="VXA91" s="24"/>
      <c r="VXB91" s="24"/>
      <c r="VXC91" s="24"/>
      <c r="VXD91" s="24"/>
      <c r="VXE91" s="24"/>
      <c r="VXF91" s="24"/>
      <c r="VXG91" s="24"/>
      <c r="VXH91" s="24"/>
      <c r="VXI91" s="24"/>
      <c r="VXJ91" s="24"/>
      <c r="VXK91" s="24"/>
      <c r="VXL91" s="24"/>
      <c r="VXM91" s="24"/>
      <c r="VXN91" s="24"/>
      <c r="VXO91" s="24"/>
      <c r="VXP91" s="24"/>
      <c r="VXQ91" s="24"/>
      <c r="VXR91" s="24"/>
      <c r="VXS91" s="24"/>
      <c r="VXT91" s="24"/>
      <c r="VXU91" s="24"/>
      <c r="VXV91" s="24"/>
      <c r="VXW91" s="24"/>
      <c r="VXX91" s="24"/>
      <c r="VXY91" s="24"/>
      <c r="VXZ91" s="24"/>
      <c r="VYA91" s="24"/>
      <c r="VYB91" s="24"/>
      <c r="VYC91" s="24"/>
      <c r="VYD91" s="24"/>
      <c r="VYE91" s="24"/>
      <c r="VYF91" s="24"/>
      <c r="VYG91" s="24"/>
      <c r="VYH91" s="24"/>
      <c r="VYI91" s="24"/>
      <c r="VYJ91" s="24"/>
      <c r="VYK91" s="24"/>
      <c r="VYL91" s="24"/>
      <c r="VYM91" s="24"/>
      <c r="VYN91" s="24"/>
      <c r="VYO91" s="24"/>
      <c r="VYP91" s="24"/>
      <c r="VYQ91" s="24"/>
      <c r="VYR91" s="24"/>
      <c r="VYS91" s="24"/>
      <c r="VYT91" s="24"/>
      <c r="VYU91" s="24"/>
      <c r="VYV91" s="24"/>
      <c r="VYW91" s="24"/>
      <c r="VYX91" s="24"/>
      <c r="VYY91" s="24"/>
      <c r="VYZ91" s="24"/>
      <c r="VZA91" s="24"/>
      <c r="VZB91" s="24"/>
      <c r="VZC91" s="24"/>
      <c r="VZD91" s="24"/>
      <c r="VZE91" s="24"/>
      <c r="VZF91" s="24"/>
      <c r="VZG91" s="24"/>
      <c r="VZH91" s="24"/>
      <c r="VZI91" s="24"/>
      <c r="VZJ91" s="24"/>
      <c r="VZK91" s="24"/>
      <c r="VZL91" s="24"/>
      <c r="VZM91" s="24"/>
      <c r="VZN91" s="24"/>
      <c r="VZO91" s="24"/>
      <c r="VZP91" s="24"/>
      <c r="VZQ91" s="24"/>
      <c r="VZR91" s="24"/>
      <c r="VZS91" s="24"/>
      <c r="VZT91" s="24"/>
      <c r="VZU91" s="24"/>
      <c r="VZV91" s="24"/>
      <c r="VZW91" s="24"/>
      <c r="VZX91" s="24"/>
      <c r="VZY91" s="24"/>
      <c r="VZZ91" s="24"/>
      <c r="WAA91" s="24"/>
      <c r="WAB91" s="24"/>
      <c r="WAC91" s="24"/>
      <c r="WAD91" s="24"/>
      <c r="WAE91" s="24"/>
      <c r="WAF91" s="24"/>
      <c r="WAG91" s="24"/>
      <c r="WAH91" s="24"/>
      <c r="WAI91" s="24"/>
      <c r="WAJ91" s="24"/>
      <c r="WAK91" s="24"/>
      <c r="WAL91" s="24"/>
      <c r="WAM91" s="24"/>
      <c r="WAN91" s="24"/>
      <c r="WAO91" s="24"/>
      <c r="WAP91" s="24"/>
      <c r="WAQ91" s="24"/>
      <c r="WAR91" s="24"/>
      <c r="WAS91" s="24"/>
      <c r="WAT91" s="24"/>
      <c r="WAU91" s="24"/>
      <c r="WAV91" s="24"/>
      <c r="WAW91" s="24"/>
      <c r="WAX91" s="24"/>
      <c r="WAY91" s="24"/>
      <c r="WAZ91" s="24"/>
      <c r="WBA91" s="24"/>
      <c r="WBB91" s="24"/>
      <c r="WBC91" s="24"/>
      <c r="WBD91" s="24"/>
      <c r="WBE91" s="24"/>
      <c r="WBF91" s="24"/>
      <c r="WBG91" s="24"/>
      <c r="WBH91" s="24"/>
      <c r="WBI91" s="24"/>
      <c r="WBJ91" s="24"/>
      <c r="WBK91" s="24"/>
      <c r="WBL91" s="24"/>
      <c r="WBM91" s="24"/>
      <c r="WBN91" s="24"/>
      <c r="WBO91" s="24"/>
      <c r="WBP91" s="24"/>
      <c r="WBQ91" s="24"/>
      <c r="WBR91" s="24"/>
      <c r="WBS91" s="24"/>
      <c r="WBT91" s="24"/>
      <c r="WBU91" s="24"/>
      <c r="WBV91" s="24"/>
      <c r="WBW91" s="24"/>
      <c r="WBX91" s="24"/>
      <c r="WBY91" s="24"/>
      <c r="WBZ91" s="24"/>
      <c r="WCA91" s="24"/>
      <c r="WCB91" s="24"/>
      <c r="WCC91" s="24"/>
      <c r="WCD91" s="24"/>
      <c r="WCE91" s="24"/>
      <c r="WCF91" s="24"/>
      <c r="WCG91" s="24"/>
      <c r="WCH91" s="24"/>
      <c r="WCI91" s="24"/>
      <c r="WCJ91" s="24"/>
      <c r="WCK91" s="24"/>
      <c r="WCL91" s="24"/>
      <c r="WCM91" s="24"/>
      <c r="WCN91" s="24"/>
      <c r="WCO91" s="24"/>
      <c r="WCP91" s="24"/>
      <c r="WCQ91" s="24"/>
      <c r="WCR91" s="24"/>
      <c r="WCS91" s="24"/>
      <c r="WCT91" s="24"/>
      <c r="WCU91" s="24"/>
      <c r="WCV91" s="24"/>
      <c r="WCW91" s="24"/>
      <c r="WCX91" s="24"/>
      <c r="WCY91" s="24"/>
      <c r="WCZ91" s="24"/>
      <c r="WDA91" s="24"/>
      <c r="WDB91" s="24"/>
      <c r="WDC91" s="24"/>
      <c r="WDD91" s="24"/>
      <c r="WDE91" s="24"/>
      <c r="WDF91" s="24"/>
      <c r="WDG91" s="24"/>
      <c r="WDH91" s="24"/>
      <c r="WDI91" s="24"/>
      <c r="WDJ91" s="24"/>
      <c r="WDK91" s="24"/>
      <c r="WDL91" s="24"/>
      <c r="WDM91" s="24"/>
      <c r="WDN91" s="24"/>
      <c r="WDO91" s="24"/>
      <c r="WDP91" s="24"/>
      <c r="WDQ91" s="24"/>
      <c r="WDR91" s="24"/>
      <c r="WDS91" s="24"/>
      <c r="WDT91" s="24"/>
      <c r="WDU91" s="24"/>
      <c r="WDV91" s="24"/>
      <c r="WDW91" s="24"/>
      <c r="WDX91" s="24"/>
      <c r="WDY91" s="24"/>
      <c r="WDZ91" s="24"/>
      <c r="WEA91" s="24"/>
      <c r="WEB91" s="24"/>
      <c r="WEC91" s="24"/>
      <c r="WED91" s="24"/>
      <c r="WEE91" s="24"/>
      <c r="WEF91" s="24"/>
      <c r="WEG91" s="24"/>
      <c r="WEH91" s="24"/>
      <c r="WEI91" s="24"/>
      <c r="WEJ91" s="24"/>
      <c r="WEK91" s="24"/>
      <c r="WEL91" s="24"/>
      <c r="WEM91" s="24"/>
      <c r="WEN91" s="24"/>
      <c r="WEO91" s="24"/>
      <c r="WEP91" s="24"/>
      <c r="WEQ91" s="24"/>
      <c r="WER91" s="24"/>
      <c r="WES91" s="24"/>
      <c r="WET91" s="24"/>
      <c r="WEU91" s="24"/>
      <c r="WEV91" s="24"/>
      <c r="WEW91" s="24"/>
      <c r="WEX91" s="24"/>
      <c r="WEY91" s="24"/>
      <c r="WEZ91" s="24"/>
      <c r="WFA91" s="24"/>
      <c r="WFB91" s="24"/>
      <c r="WFC91" s="24"/>
      <c r="WFD91" s="24"/>
      <c r="WFE91" s="24"/>
      <c r="WFF91" s="24"/>
      <c r="WFG91" s="24"/>
      <c r="WFH91" s="24"/>
      <c r="WFI91" s="24"/>
      <c r="WFJ91" s="24"/>
      <c r="WFK91" s="24"/>
      <c r="WFL91" s="24"/>
      <c r="WFM91" s="24"/>
      <c r="WFN91" s="24"/>
      <c r="WFO91" s="24"/>
      <c r="WFP91" s="24"/>
      <c r="WFQ91" s="24"/>
      <c r="WFR91" s="24"/>
      <c r="WFS91" s="24"/>
      <c r="WFT91" s="24"/>
      <c r="WFU91" s="24"/>
      <c r="WFV91" s="24"/>
      <c r="WFW91" s="24"/>
      <c r="WFX91" s="24"/>
      <c r="WFY91" s="24"/>
      <c r="WFZ91" s="24"/>
      <c r="WGA91" s="24"/>
      <c r="WGB91" s="24"/>
      <c r="WGC91" s="24"/>
      <c r="WGD91" s="24"/>
      <c r="WGE91" s="24"/>
      <c r="WGF91" s="24"/>
      <c r="WGG91" s="24"/>
      <c r="WGH91" s="24"/>
      <c r="WGI91" s="24"/>
      <c r="WGJ91" s="24"/>
      <c r="WGK91" s="24"/>
      <c r="WGL91" s="24"/>
      <c r="WGM91" s="24"/>
      <c r="WGN91" s="24"/>
      <c r="WGO91" s="24"/>
      <c r="WGP91" s="24"/>
      <c r="WGQ91" s="24"/>
      <c r="WGR91" s="24"/>
      <c r="WGS91" s="24"/>
      <c r="WGT91" s="24"/>
      <c r="WGU91" s="24"/>
      <c r="WGV91" s="24"/>
      <c r="WGW91" s="24"/>
      <c r="WGX91" s="24"/>
      <c r="WGY91" s="24"/>
      <c r="WGZ91" s="24"/>
      <c r="WHA91" s="24"/>
      <c r="WHB91" s="24"/>
      <c r="WHC91" s="24"/>
      <c r="WHD91" s="24"/>
      <c r="WHE91" s="24"/>
      <c r="WHF91" s="24"/>
      <c r="WHG91" s="24"/>
      <c r="WHH91" s="24"/>
      <c r="WHI91" s="24"/>
      <c r="WHJ91" s="24"/>
      <c r="WHK91" s="24"/>
      <c r="WHL91" s="24"/>
      <c r="WHM91" s="24"/>
      <c r="WHN91" s="24"/>
      <c r="WHO91" s="24"/>
      <c r="WHP91" s="24"/>
      <c r="WHQ91" s="24"/>
      <c r="WHR91" s="24"/>
      <c r="WHS91" s="24"/>
      <c r="WHT91" s="24"/>
      <c r="WHU91" s="24"/>
      <c r="WHV91" s="24"/>
      <c r="WHW91" s="24"/>
      <c r="WHX91" s="24"/>
      <c r="WHY91" s="24"/>
      <c r="WHZ91" s="24"/>
      <c r="WIA91" s="24"/>
      <c r="WIB91" s="24"/>
      <c r="WIC91" s="24"/>
      <c r="WID91" s="24"/>
      <c r="WIE91" s="24"/>
      <c r="WIF91" s="24"/>
      <c r="WIG91" s="24"/>
      <c r="WIH91" s="24"/>
      <c r="WII91" s="24"/>
      <c r="WIJ91" s="24"/>
      <c r="WIK91" s="24"/>
      <c r="WIL91" s="24"/>
      <c r="WIM91" s="24"/>
      <c r="WIN91" s="24"/>
      <c r="WIO91" s="24"/>
      <c r="WIP91" s="24"/>
      <c r="WIQ91" s="24"/>
      <c r="WIR91" s="24"/>
      <c r="WIS91" s="24"/>
      <c r="WIT91" s="24"/>
      <c r="WIU91" s="24"/>
      <c r="WIV91" s="24"/>
      <c r="WIW91" s="24"/>
      <c r="WIX91" s="24"/>
      <c r="WIY91" s="24"/>
      <c r="WIZ91" s="24"/>
      <c r="WJA91" s="24"/>
      <c r="WJB91" s="24"/>
      <c r="WJC91" s="24"/>
      <c r="WJD91" s="24"/>
      <c r="WJE91" s="24"/>
      <c r="WJF91" s="24"/>
      <c r="WJG91" s="24"/>
      <c r="WJH91" s="24"/>
      <c r="WJI91" s="24"/>
      <c r="WJJ91" s="24"/>
      <c r="WJK91" s="24"/>
      <c r="WJL91" s="24"/>
      <c r="WJM91" s="24"/>
      <c r="WJN91" s="24"/>
      <c r="WJO91" s="24"/>
      <c r="WJP91" s="24"/>
      <c r="WJQ91" s="24"/>
      <c r="WJR91" s="24"/>
      <c r="WJS91" s="24"/>
      <c r="WJT91" s="24"/>
      <c r="WJU91" s="24"/>
      <c r="WJV91" s="24"/>
      <c r="WJW91" s="24"/>
      <c r="WJX91" s="24"/>
      <c r="WJY91" s="24"/>
      <c r="WJZ91" s="24"/>
      <c r="WKA91" s="24"/>
      <c r="WKB91" s="24"/>
      <c r="WKC91" s="24"/>
      <c r="WKD91" s="24"/>
      <c r="WKE91" s="24"/>
      <c r="WKF91" s="24"/>
      <c r="WKG91" s="24"/>
      <c r="WKH91" s="24"/>
      <c r="WKI91" s="24"/>
      <c r="WKJ91" s="24"/>
      <c r="WKK91" s="24"/>
      <c r="WKL91" s="24"/>
      <c r="WKM91" s="24"/>
      <c r="WKN91" s="24"/>
      <c r="WKO91" s="24"/>
      <c r="WKP91" s="24"/>
      <c r="WKQ91" s="24"/>
      <c r="WKR91" s="24"/>
      <c r="WKS91" s="24"/>
      <c r="WKT91" s="24"/>
      <c r="WKU91" s="24"/>
      <c r="WKV91" s="24"/>
      <c r="WKW91" s="24"/>
      <c r="WKX91" s="24"/>
      <c r="WKY91" s="24"/>
      <c r="WKZ91" s="24"/>
      <c r="WLA91" s="24"/>
      <c r="WLB91" s="24"/>
      <c r="WLC91" s="24"/>
      <c r="WLD91" s="24"/>
      <c r="WLE91" s="24"/>
      <c r="WLF91" s="24"/>
      <c r="WLG91" s="24"/>
      <c r="WLH91" s="24"/>
      <c r="WLI91" s="24"/>
      <c r="WLJ91" s="24"/>
      <c r="WLK91" s="24"/>
      <c r="WLL91" s="24"/>
      <c r="WLM91" s="24"/>
      <c r="WLN91" s="24"/>
      <c r="WLO91" s="24"/>
      <c r="WLP91" s="24"/>
      <c r="WLQ91" s="24"/>
      <c r="WLR91" s="24"/>
      <c r="WLS91" s="24"/>
      <c r="WLT91" s="24"/>
      <c r="WLU91" s="24"/>
      <c r="WLV91" s="24"/>
      <c r="WLW91" s="24"/>
      <c r="WLX91" s="24"/>
      <c r="WLY91" s="24"/>
      <c r="WLZ91" s="24"/>
      <c r="WMA91" s="24"/>
      <c r="WMB91" s="24"/>
      <c r="WMC91" s="24"/>
      <c r="WMD91" s="24"/>
      <c r="WME91" s="24"/>
      <c r="WMF91" s="24"/>
      <c r="WMG91" s="24"/>
      <c r="WMH91" s="24"/>
      <c r="WMI91" s="24"/>
      <c r="WMJ91" s="24"/>
      <c r="WMK91" s="24"/>
      <c r="WML91" s="24"/>
      <c r="WMM91" s="24"/>
      <c r="WMN91" s="24"/>
      <c r="WMO91" s="24"/>
      <c r="WMP91" s="24"/>
      <c r="WMQ91" s="24"/>
      <c r="WMR91" s="24"/>
      <c r="WMS91" s="24"/>
      <c r="WMT91" s="24"/>
      <c r="WMU91" s="24"/>
      <c r="WMV91" s="24"/>
      <c r="WMW91" s="24"/>
      <c r="WMX91" s="24"/>
      <c r="WMY91" s="24"/>
      <c r="WMZ91" s="24"/>
      <c r="WNA91" s="24"/>
      <c r="WNB91" s="24"/>
      <c r="WNC91" s="24"/>
      <c r="WND91" s="24"/>
      <c r="WNE91" s="24"/>
      <c r="WNF91" s="24"/>
      <c r="WNG91" s="24"/>
      <c r="WNH91" s="24"/>
      <c r="WNI91" s="24"/>
      <c r="WNJ91" s="24"/>
      <c r="WNK91" s="24"/>
      <c r="WNL91" s="24"/>
      <c r="WNM91" s="24"/>
      <c r="WNN91" s="24"/>
      <c r="WNO91" s="24"/>
      <c r="WNP91" s="24"/>
      <c r="WNQ91" s="24"/>
      <c r="WNR91" s="24"/>
      <c r="WNS91" s="24"/>
      <c r="WNT91" s="24"/>
      <c r="WNU91" s="24"/>
      <c r="WNV91" s="24"/>
      <c r="WNW91" s="24"/>
      <c r="WNX91" s="24"/>
      <c r="WNY91" s="24"/>
      <c r="WNZ91" s="24"/>
      <c r="WOA91" s="24"/>
      <c r="WOB91" s="24"/>
      <c r="WOC91" s="24"/>
      <c r="WOD91" s="24"/>
      <c r="WOE91" s="24"/>
      <c r="WOF91" s="24"/>
      <c r="WOG91" s="24"/>
      <c r="WOH91" s="24"/>
      <c r="WOI91" s="24"/>
      <c r="WOJ91" s="24"/>
      <c r="WOK91" s="24"/>
      <c r="WOL91" s="24"/>
      <c r="WOM91" s="24"/>
      <c r="WON91" s="24"/>
      <c r="WOO91" s="24"/>
      <c r="WOP91" s="24"/>
      <c r="WOQ91" s="24"/>
      <c r="WOR91" s="24"/>
      <c r="WOS91" s="24"/>
      <c r="WOT91" s="24"/>
      <c r="WOU91" s="24"/>
      <c r="WOV91" s="24"/>
      <c r="WOW91" s="24"/>
      <c r="WOX91" s="24"/>
      <c r="WOY91" s="24"/>
      <c r="WOZ91" s="24"/>
      <c r="WPA91" s="24"/>
      <c r="WPB91" s="24"/>
      <c r="WPC91" s="24"/>
      <c r="WPD91" s="24"/>
      <c r="WPE91" s="24"/>
      <c r="WPF91" s="24"/>
      <c r="WPG91" s="24"/>
      <c r="WPH91" s="24"/>
      <c r="WPI91" s="24"/>
      <c r="WPJ91" s="24"/>
      <c r="WPK91" s="24"/>
      <c r="WPL91" s="24"/>
      <c r="WPM91" s="24"/>
      <c r="WPN91" s="24"/>
      <c r="WPO91" s="24"/>
      <c r="WPP91" s="24"/>
      <c r="WPQ91" s="24"/>
      <c r="WPR91" s="24"/>
      <c r="WPS91" s="24"/>
      <c r="WPT91" s="24"/>
      <c r="WPU91" s="24"/>
      <c r="WPV91" s="24"/>
      <c r="WPW91" s="24"/>
      <c r="WPX91" s="24"/>
      <c r="WPY91" s="24"/>
      <c r="WPZ91" s="24"/>
      <c r="WQA91" s="24"/>
      <c r="WQB91" s="24"/>
      <c r="WQC91" s="24"/>
      <c r="WQD91" s="24"/>
      <c r="WQE91" s="24"/>
      <c r="WQF91" s="24"/>
      <c r="WQG91" s="24"/>
      <c r="WQH91" s="24"/>
      <c r="WQI91" s="24"/>
      <c r="WQJ91" s="24"/>
      <c r="WQK91" s="24"/>
      <c r="WQL91" s="24"/>
      <c r="WQM91" s="24"/>
      <c r="WQN91" s="24"/>
      <c r="WQO91" s="24"/>
      <c r="WQP91" s="24"/>
      <c r="WQQ91" s="24"/>
      <c r="WQR91" s="24"/>
      <c r="WQS91" s="24"/>
      <c r="WQT91" s="24"/>
      <c r="WQU91" s="24"/>
      <c r="WQV91" s="24"/>
      <c r="WQW91" s="24"/>
      <c r="WQX91" s="24"/>
      <c r="WQY91" s="24"/>
      <c r="WQZ91" s="24"/>
      <c r="WRA91" s="24"/>
      <c r="WRB91" s="24"/>
      <c r="WRC91" s="24"/>
      <c r="WRD91" s="24"/>
      <c r="WRE91" s="24"/>
      <c r="WRF91" s="24"/>
      <c r="WRG91" s="24"/>
      <c r="WRH91" s="24"/>
      <c r="WRI91" s="24"/>
      <c r="WRJ91" s="24"/>
      <c r="WRK91" s="24"/>
      <c r="WRL91" s="24"/>
      <c r="WRM91" s="24"/>
      <c r="WRN91" s="24"/>
      <c r="WRO91" s="24"/>
      <c r="WRP91" s="24"/>
      <c r="WRQ91" s="24"/>
      <c r="WRR91" s="24"/>
      <c r="WRS91" s="24"/>
      <c r="WRT91" s="24"/>
      <c r="WRU91" s="24"/>
      <c r="WRV91" s="24"/>
      <c r="WRW91" s="24"/>
      <c r="WRX91" s="24"/>
      <c r="WRY91" s="24"/>
      <c r="WRZ91" s="24"/>
      <c r="WSA91" s="24"/>
      <c r="WSB91" s="24"/>
      <c r="WSC91" s="24"/>
      <c r="WSD91" s="24"/>
      <c r="WSE91" s="24"/>
      <c r="WSF91" s="24"/>
      <c r="WSG91" s="24"/>
      <c r="WSH91" s="24"/>
      <c r="WSI91" s="24"/>
      <c r="WSJ91" s="24"/>
      <c r="WSK91" s="24"/>
      <c r="WSL91" s="24"/>
      <c r="WSM91" s="24"/>
      <c r="WSN91" s="24"/>
      <c r="WSO91" s="24"/>
      <c r="WSP91" s="24"/>
      <c r="WSQ91" s="24"/>
      <c r="WSR91" s="24"/>
      <c r="WSS91" s="24"/>
      <c r="WST91" s="24"/>
      <c r="WSU91" s="24"/>
      <c r="WSV91" s="24"/>
      <c r="WSW91" s="24"/>
      <c r="WSX91" s="24"/>
      <c r="WSY91" s="24"/>
      <c r="WSZ91" s="24"/>
      <c r="WTA91" s="24"/>
      <c r="WTB91" s="24"/>
      <c r="WTC91" s="24"/>
      <c r="WTD91" s="24"/>
      <c r="WTE91" s="24"/>
      <c r="WTF91" s="24"/>
      <c r="WTG91" s="24"/>
      <c r="WTH91" s="24"/>
      <c r="WTI91" s="24"/>
      <c r="WTJ91" s="24"/>
      <c r="WTK91" s="24"/>
      <c r="WTL91" s="24"/>
      <c r="WTM91" s="24"/>
      <c r="WTN91" s="24"/>
      <c r="WTO91" s="24"/>
      <c r="WTP91" s="24"/>
      <c r="WTQ91" s="24"/>
      <c r="WTR91" s="24"/>
      <c r="WTS91" s="24"/>
      <c r="WTT91" s="24"/>
      <c r="WTU91" s="24"/>
      <c r="WTV91" s="24"/>
      <c r="WTW91" s="24"/>
      <c r="WTX91" s="24"/>
      <c r="WTY91" s="24"/>
      <c r="WTZ91" s="24"/>
      <c r="WUA91" s="24"/>
      <c r="WUB91" s="24"/>
      <c r="WUC91" s="24"/>
      <c r="WUD91" s="24"/>
      <c r="WUE91" s="24"/>
      <c r="WUF91" s="24"/>
      <c r="WUG91" s="24"/>
      <c r="WUH91" s="24"/>
      <c r="WUI91" s="24"/>
      <c r="WUJ91" s="24"/>
      <c r="WUK91" s="24"/>
      <c r="WUL91" s="24"/>
      <c r="WUM91" s="24"/>
      <c r="WUN91" s="24"/>
      <c r="WUO91" s="24"/>
      <c r="WUP91" s="24"/>
      <c r="WUQ91" s="24"/>
      <c r="WUR91" s="24"/>
      <c r="WUS91" s="24"/>
      <c r="WUT91" s="24"/>
      <c r="WUU91" s="24"/>
      <c r="WUV91" s="24"/>
      <c r="WUW91" s="24"/>
      <c r="WUX91" s="24"/>
      <c r="WUY91" s="24"/>
      <c r="WUZ91" s="24"/>
      <c r="WVA91" s="24"/>
      <c r="WVB91" s="24"/>
      <c r="WVC91" s="24"/>
      <c r="WVD91" s="24"/>
      <c r="WVE91" s="24"/>
      <c r="WVF91" s="24"/>
      <c r="WVG91" s="24"/>
      <c r="WVH91" s="24"/>
      <c r="WVI91" s="24"/>
      <c r="WVJ91" s="24"/>
      <c r="WVK91" s="24"/>
      <c r="WVL91" s="24"/>
      <c r="WVM91" s="24"/>
      <c r="WVN91" s="24"/>
      <c r="WVO91" s="24"/>
      <c r="WVP91" s="24"/>
      <c r="WVQ91" s="24"/>
      <c r="WVR91" s="24"/>
      <c r="WVS91" s="24"/>
      <c r="WVT91" s="24"/>
      <c r="WVU91" s="24"/>
      <c r="WVV91" s="24"/>
      <c r="WVW91" s="24"/>
      <c r="WVX91" s="24"/>
      <c r="WVY91" s="24"/>
      <c r="WVZ91" s="24"/>
      <c r="WWA91" s="24"/>
      <c r="WWB91" s="24"/>
      <c r="WWC91" s="24"/>
      <c r="WWD91" s="24"/>
      <c r="WWE91" s="24"/>
      <c r="WWF91" s="24"/>
      <c r="WWG91" s="24"/>
      <c r="WWH91" s="24"/>
      <c r="WWI91" s="24"/>
      <c r="WWJ91" s="24"/>
      <c r="WWK91" s="24"/>
      <c r="WWL91" s="24"/>
      <c r="WWM91" s="24"/>
      <c r="WWN91" s="24"/>
      <c r="WWO91" s="24"/>
      <c r="WWP91" s="24"/>
      <c r="WWQ91" s="24"/>
      <c r="WWR91" s="24"/>
      <c r="WWS91" s="24"/>
      <c r="WWT91" s="24"/>
      <c r="WWU91" s="24"/>
      <c r="WWV91" s="24"/>
      <c r="WWW91" s="24"/>
      <c r="WWX91" s="24"/>
      <c r="WWY91" s="24"/>
      <c r="WWZ91" s="24"/>
      <c r="WXA91" s="24"/>
      <c r="WXB91" s="24"/>
      <c r="WXC91" s="24"/>
      <c r="WXD91" s="24"/>
      <c r="WXE91" s="24"/>
      <c r="WXF91" s="24"/>
      <c r="WXG91" s="24"/>
      <c r="WXH91" s="24"/>
      <c r="WXI91" s="24"/>
      <c r="WXJ91" s="24"/>
      <c r="WXK91" s="24"/>
      <c r="WXL91" s="24"/>
      <c r="WXM91" s="24"/>
      <c r="WXN91" s="24"/>
      <c r="WXO91" s="24"/>
      <c r="WXP91" s="24"/>
      <c r="WXQ91" s="24"/>
      <c r="WXR91" s="24"/>
      <c r="WXS91" s="24"/>
      <c r="WXT91" s="24"/>
      <c r="WXU91" s="24"/>
      <c r="WXV91" s="24"/>
      <c r="WXW91" s="24"/>
      <c r="WXX91" s="24"/>
      <c r="WXY91" s="24"/>
      <c r="WXZ91" s="24"/>
      <c r="WYA91" s="24"/>
      <c r="WYB91" s="24"/>
      <c r="WYC91" s="24"/>
      <c r="WYD91" s="24"/>
      <c r="WYE91" s="24"/>
      <c r="WYF91" s="24"/>
      <c r="WYG91" s="24"/>
      <c r="WYH91" s="24"/>
      <c r="WYI91" s="24"/>
      <c r="WYJ91" s="24"/>
      <c r="WYK91" s="24"/>
      <c r="WYL91" s="24"/>
      <c r="WYM91" s="24"/>
      <c r="WYN91" s="24"/>
      <c r="WYO91" s="24"/>
      <c r="WYP91" s="24"/>
      <c r="WYQ91" s="24"/>
      <c r="WYR91" s="24"/>
      <c r="WYS91" s="24"/>
      <c r="WYT91" s="24"/>
      <c r="WYU91" s="24"/>
      <c r="WYV91" s="24"/>
      <c r="WYW91" s="24"/>
      <c r="WYX91" s="24"/>
      <c r="WYY91" s="24"/>
      <c r="WYZ91" s="24"/>
      <c r="WZA91" s="24"/>
      <c r="WZB91" s="24"/>
      <c r="WZC91" s="24"/>
      <c r="WZD91" s="24"/>
      <c r="WZE91" s="24"/>
      <c r="WZF91" s="24"/>
      <c r="WZG91" s="24"/>
      <c r="WZH91" s="24"/>
      <c r="WZI91" s="24"/>
      <c r="WZJ91" s="24"/>
      <c r="WZK91" s="24"/>
      <c r="WZL91" s="24"/>
      <c r="WZM91" s="24"/>
      <c r="WZN91" s="24"/>
      <c r="WZO91" s="24"/>
      <c r="WZP91" s="24"/>
      <c r="WZQ91" s="24"/>
      <c r="WZR91" s="24"/>
      <c r="WZS91" s="24"/>
      <c r="WZT91" s="24"/>
      <c r="WZU91" s="24"/>
      <c r="WZV91" s="24"/>
      <c r="WZW91" s="24"/>
      <c r="WZX91" s="24"/>
      <c r="WZY91" s="24"/>
      <c r="WZZ91" s="24"/>
      <c r="XAA91" s="24"/>
      <c r="XAB91" s="24"/>
      <c r="XAC91" s="24"/>
      <c r="XAD91" s="24"/>
      <c r="XAE91" s="24"/>
      <c r="XAF91" s="24"/>
      <c r="XAG91" s="24"/>
      <c r="XAH91" s="24"/>
      <c r="XAI91" s="24"/>
      <c r="XAJ91" s="24"/>
      <c r="XAK91" s="24"/>
      <c r="XAL91" s="24"/>
      <c r="XAM91" s="24"/>
      <c r="XAN91" s="24"/>
      <c r="XAO91" s="24"/>
      <c r="XAP91" s="24"/>
      <c r="XAQ91" s="24"/>
      <c r="XAR91" s="24"/>
      <c r="XAS91" s="24"/>
      <c r="XAT91" s="24"/>
      <c r="XAU91" s="24"/>
      <c r="XAV91" s="24"/>
      <c r="XAW91" s="24"/>
      <c r="XAX91" s="24"/>
      <c r="XAY91" s="24"/>
      <c r="XAZ91" s="24"/>
      <c r="XBA91" s="24"/>
      <c r="XBB91" s="24"/>
      <c r="XBC91" s="24"/>
      <c r="XBD91" s="24"/>
      <c r="XBE91" s="24"/>
      <c r="XBF91" s="24"/>
      <c r="XBG91" s="24"/>
      <c r="XBH91" s="24"/>
      <c r="XBI91" s="24"/>
      <c r="XBJ91" s="24"/>
      <c r="XBK91" s="24"/>
      <c r="XBL91" s="24"/>
      <c r="XBM91" s="24"/>
      <c r="XBN91" s="24"/>
      <c r="XBO91" s="24"/>
      <c r="XBP91" s="24"/>
      <c r="XBQ91" s="24"/>
      <c r="XBR91" s="24"/>
      <c r="XBS91" s="24"/>
      <c r="XBT91" s="24"/>
    </row>
    <row r="92" spans="1:16296" ht="15.75" x14ac:dyDescent="0.5">
      <c r="A92" s="41" t="s">
        <v>87</v>
      </c>
      <c r="B92" s="41" t="s">
        <v>292</v>
      </c>
      <c r="C92" s="41">
        <v>9</v>
      </c>
      <c r="D92" s="41" t="s">
        <v>42</v>
      </c>
      <c r="E92" s="42" t="s">
        <v>105</v>
      </c>
      <c r="F92" s="42" t="s">
        <v>292</v>
      </c>
      <c r="G92" s="41" t="s">
        <v>254</v>
      </c>
      <c r="H92" s="41" t="s">
        <v>225</v>
      </c>
      <c r="I92" s="41">
        <v>25</v>
      </c>
      <c r="J92" s="36">
        <v>10</v>
      </c>
      <c r="K92" s="36">
        <v>130</v>
      </c>
      <c r="L92" s="48">
        <v>1</v>
      </c>
      <c r="M92" s="43"/>
      <c r="N92" s="103">
        <f>IFERROR(Baukon[[#This Row],[Dicke '[mm'] Referenz]]/1000*Baukon[[#This Row],[Flächenanteil '[%']]],"")</f>
        <v>2.5000000000000001E-2</v>
      </c>
      <c r="O92" s="103">
        <f>IFERROR(Baukon[[#This Row],[Dicke '[mm'] min]]/1000*Baukon[[#This Row],[Flächenanteil '[%']]],"")</f>
        <v>0.01</v>
      </c>
      <c r="P92" s="103">
        <f>IFERROR(Baukon[[#This Row],[Dicke '[mm'] max]]/1000*Baukon[[#This Row],[Flächenanteil '[%']]],"")</f>
        <v>0.13</v>
      </c>
      <c r="Q92" s="103">
        <f>IFERROR(
    IF(Baukon[[#This Row],[Länge '[m']]]*Baukon[[#This Row],[Längengewicht '[kg/m']]]&lt;&gt;0, Baukon[[#This Row],[Länge '[m']]]*Baukon[[#This Row],[Längengewicht '[kg/m']]],
       IF( Baukon[[#This Row],[Volumen '[m³/m²'] Referenz]]*Baukon[[#This Row],[Rohdichte '[kg/m³']]]&lt;&gt;0,
        Baukon[[#This Row],[Volumen '[m³/m²'] Referenz]]*Baukon[[#This Row],[Rohdichte '[kg/m³']]],
                Baukon[[#This Row],[Flächenanteil '[%']]]*Baukon[[#This Row],[Flächengewicht '[kg/m²']]])),"")</f>
        <v>3.2000000000000001E-2</v>
      </c>
      <c r="R92" s="103">
        <f>IFERROR(
    IF(Baukon[[#This Row],[Länge '[m']]]*Baukon[[#This Row],[Längengewicht '[kg/m']]]&lt;&gt;0, Baukon[[#This Row],[Länge '[m']]]*Baukon[[#This Row],[Längengewicht '[kg/m']]],
       IF( Baukon[[#This Row],[Volumen '[m³/m²'] min]]*Baukon[[#This Row],[Rohdichte '[kg/m³']]]&lt;&gt;0,
        Baukon[[#This Row],[Volumen '[m³/m²'] min]]*Baukon[[#This Row],[Rohdichte '[kg/m³']]],
                Baukon[[#This Row],[Flächenanteil '[%']]]*Baukon[[#This Row],[Flächengewicht '[kg/m²']]])),"")</f>
        <v>3.2000000000000001E-2</v>
      </c>
      <c r="S92" s="103">
        <f>IFERROR(
    IF(Baukon[[#This Row],[Länge '[m']]]*Baukon[[#This Row],[Längengewicht '[kg/m']]]&lt;&gt;0, Baukon[[#This Row],[Länge '[m']]]*Baukon[[#This Row],[Längengewicht '[kg/m']]],
       IF( Baukon[[#This Row],[Volumen '[m³/m²'] max]]*Baukon[[#This Row],[Rohdichte '[kg/m³']]]&lt;&gt;0,
        Baukon[[#This Row],[Volumen '[m³/m²'] max]]*Baukon[[#This Row],[Rohdichte '[kg/m³']]],
                Baukon[[#This Row],[Flächenanteil '[%']]]*Baukon[[#This Row],[Flächengewicht '[kg/m²']]])),"")</f>
        <v>3.2000000000000001E-2</v>
      </c>
      <c r="T92" s="42">
        <v>150.76</v>
      </c>
      <c r="U92" s="42" t="str">
        <f>_xlfn.XLOOKUP(Baukon[[#This Row],[Material]],LeitRess_Materialien[Name],LeitRess_Materialien[Material_UUID])</f>
        <v>8be785fa-5548-4ea5-a2d7-b962675b9eff</v>
      </c>
      <c r="V92" s="104">
        <v>0</v>
      </c>
      <c r="W92" s="104">
        <v>3.2000000000000001E-2</v>
      </c>
      <c r="X92" s="103">
        <v>1562.5</v>
      </c>
      <c r="Y92" s="104">
        <f>_xlfn.XLOOKUP(Baukon[[#This Row],[LCA Datensatz]],LeitRess_Materialien[Material_UUID],LeitRess_Materialien[lambda_'[W/mK']])</f>
        <v>0.66</v>
      </c>
      <c r="Z92" s="42">
        <f>IFERROR(Baukon[[#This Row],[Dicke '[mm'] Referenz]]/Baukon[[#This Row],[lambda_'[W/mK']]],"")</f>
        <v>37.878787878787875</v>
      </c>
      <c r="AA92" s="44">
        <f>_xlfn.XLOOKUP(Baukon[[#This Row],[LCA Datensatz]],LeitRess_Materialien[Material_UUID],LeitRess_Materialien[RMI '[kg Primärrohstoffe / kg']])*Baukon[[#This Row],[Masse '[kg/m²'] Referenz]]</f>
        <v>2.6871042504857633E-2</v>
      </c>
      <c r="AB92" s="44">
        <f>_xlfn.XLOOKUP(Baukon[[#This Row],[LCA Datensatz]],LeitRess_Materialien[Material_UUID],LeitRess_Materialien[RMI '[kg Primärrohstoffe / kg']])*Baukon[[#This Row],[Masse '[kg/m²'] min]]</f>
        <v>2.6871042504857633E-2</v>
      </c>
      <c r="AC92" s="44">
        <f>_xlfn.XLOOKUP(Baukon[[#This Row],[LCA Datensatz]],LeitRess_Materialien[Material_UUID],LeitRess_Materialien[RMI '[kg Primärrohstoffe / kg']])*Baukon[[#This Row],[Masse '[kg/m²'] max]]</f>
        <v>2.6871042504857633E-2</v>
      </c>
      <c r="AD92" s="44">
        <f>_xlfn.XLOOKUP(Baukon[[#This Row],[LCA Datensatz]],LeitRess_Materialien[Material_UUID],LeitRess_Materialien[TMR '[kg Gesamtmaterialaufwand/kg']])*Baukon[[#This Row],[Masse '[kg/m²'] Referenz]]</f>
        <v>3.7573702472240962E-2</v>
      </c>
      <c r="AE92" s="44">
        <f>_xlfn.XLOOKUP(Baukon[[#This Row],[LCA Datensatz]],LeitRess_Materialien[Material_UUID],LeitRess_Materialien[TMR '[kg Gesamtmaterialaufwand/kg']])*Baukon[[#This Row],[Masse '[kg/m²'] min]]</f>
        <v>3.7573702472240962E-2</v>
      </c>
      <c r="AF92" s="44">
        <f>_xlfn.XLOOKUP(Baukon[[#This Row],[LCA Datensatz]],LeitRess_Materialien[Material_UUID],LeitRess_Materialien[TMR '[kg Gesamtmaterialaufwand/kg']])*Baukon[[#This Row],[Masse '[kg/m²'] max]]</f>
        <v>3.7573702472240962E-2</v>
      </c>
      <c r="AG92" s="44">
        <f>_xlfn.XLOOKUP(Baukon[[#This Row],[LCA Datensatz]],LeitRess_Materialien[Material_UUID],LeitRess_Materialien[GWP '[kg CO2-Äqu./kg']])*Baukon[[#This Row],[Masse '[kg/m²'] Referenz]]</f>
        <v>1.479291155377949E-3</v>
      </c>
      <c r="AH92" s="44">
        <f>_xlfn.XLOOKUP(Baukon[[#This Row],[LCA Datensatz]],LeitRess_Materialien[Material_UUID],LeitRess_Materialien[GWP '[kg CO2-Äqu./kg']])*Baukon[[#This Row],[Masse '[kg/m²'] min]]</f>
        <v>1.479291155377949E-3</v>
      </c>
      <c r="AI92" s="44">
        <f>_xlfn.XLOOKUP(Baukon[[#This Row],[LCA Datensatz]],LeitRess_Materialien[Material_UUID],LeitRess_Materialien[GWP '[kg CO2-Äqu./kg']])*Baukon[[#This Row],[Masse '[kg/m²'] max]]</f>
        <v>1.479291155377949E-3</v>
      </c>
      <c r="AJ92" s="44">
        <f>_xlfn.XLOOKUP(Baukon[[#This Row],[LCA Datensatz]],LeitRess_Materialien[Material_UUID],LeitRess_Materialien[PENRT '[MJ/kg']])*Baukon[[#This Row],[Masse '[kg/m²'] Referenz]]</f>
        <v>2.2008910053531519E-2</v>
      </c>
      <c r="AK92" s="44">
        <f>_xlfn.XLOOKUP(Baukon[[#This Row],[LCA Datensatz]],LeitRess_Materialien[Material_UUID],LeitRess_Materialien[PENRT '[MJ/kg']])*Baukon[[#This Row],[Masse '[kg/m²'] min]]</f>
        <v>2.2008910053531519E-2</v>
      </c>
      <c r="AL92" s="44">
        <f>_xlfn.XLOOKUP(Baukon[[#This Row],[LCA Datensatz]],LeitRess_Materialien[Material_UUID],LeitRess_Materialien[PENRT '[MJ/kg']])*Baukon[[#This Row],[Masse '[kg/m²'] max]]</f>
        <v>2.2008910053531519E-2</v>
      </c>
      <c r="AM92" s="44" t="e">
        <f>_xlfn.XLOOKUP(Baukon[[#This Row],[LCA Datensatz]],LeitRess_Materialien[Material_UUID],#REF!)*Baukon[[#This Row],[Masse '[kg/m²'] Referenz]]</f>
        <v>#REF!</v>
      </c>
      <c r="AN92" s="44" t="e">
        <f>_xlfn.XLOOKUP(Baukon[[#This Row],[LCA Datensatz]],LeitRess_Materialien[Material_UUID],#REF!)*Baukon[[#This Row],[Masse '[kg/m²'] min]]</f>
        <v>#REF!</v>
      </c>
      <c r="AO92" s="44" t="e">
        <f>_xlfn.XLOOKUP(Baukon[[#This Row],[LCA Datensatz]],LeitRess_Materialien[Material_UUID],#REF!)*Baukon[[#This Row],[Masse '[kg/m²'] max]]</f>
        <v>#REF!</v>
      </c>
      <c r="AP92" s="44">
        <f>_xlfn.XLOOKUP(Baukon[[#This Row],[LCA Datensatz]],LeitRess_Materialien[Material_UUID],LeitRess_Materialien[WDP '[m³ weighted water/kg']])*Baukon[[#This Row],[Masse '[kg/m²'] Referenz]]</f>
        <v>6.3020351380158404E-4</v>
      </c>
      <c r="AQ92" s="44">
        <f>_xlfn.XLOOKUP(Baukon[[#This Row],[LCA Datensatz]],LeitRess_Materialien[Material_UUID],LeitRess_Materialien[WDP '[m³ weighted water/kg']])*Baukon[[#This Row],[Masse '[kg/m²'] min]]</f>
        <v>6.3020351380158404E-4</v>
      </c>
      <c r="AR92" s="44">
        <f>_xlfn.XLOOKUP(Baukon[[#This Row],[LCA Datensatz]],LeitRess_Materialien[Material_UUID],LeitRess_Materialien[WDP '[m³ weighted water/kg']])*Baukon[[#This Row],[Masse '[kg/m²'] max]]</f>
        <v>6.3020351380158404E-4</v>
      </c>
      <c r="AS92" s="67">
        <f>Baukon[[#This Row],[GWP '[kg CO2-Äqu./m²'] Referenz]]/'Ausgabe Tabellen'!$C$21+Baukon[[#This Row],[PENRT '[MJ/m²'] Referenz]]/'Ausgabe Tabellen'!$C$22+Baukon[[#This Row],[RMI '[kg Primärrohstoffe/m²'] Referenz]]/'Ausgabe Tabellen'!$C$23+Baukon[[#This Row],[WDP '[m² weighted water/m²'] Referenz]]/'Ausgabe Tabellen'!$C$24</f>
        <v>1.0835384720992508E-6</v>
      </c>
      <c r="AT92" s="67">
        <f>Baukon[[#This Row],[GWP '[kg CO2-Äqu./m²'] min]]/'Ausgabe Tabellen'!$C$21+Baukon[[#This Row],[PENRT '[MJ/m²'] min]]/'Ausgabe Tabellen'!$C$22+Baukon[[#This Row],[RMI '[kg Primärrohstoffe/m²'] min]]/'Ausgabe Tabellen'!$C$23+Baukon[[#This Row],[WDP '[m² weighted water/m²'] min]]/'Ausgabe Tabellen'!$C$24</f>
        <v>1.0835384720992508E-6</v>
      </c>
      <c r="AU92" s="67">
        <f>Baukon[[#This Row],[GWP '[kg CO2-Äqu./m²'] max]]/'Ausgabe Tabellen'!$C$21+Baukon[[#This Row],[PENRT '[MJ/m²'] max]]/'Ausgabe Tabellen'!$C$22+Baukon[[#This Row],[RMI '[kg Primärrohstoffe/m²'] max]]/'Ausgabe Tabellen'!$C$23+Baukon[[#This Row],[WDP '[m² weighted water/m²'] max]]/'Ausgabe Tabellen'!$C$24</f>
        <v>1.0835384720992508E-6</v>
      </c>
      <c r="AV92" s="24"/>
      <c r="AW92" s="24"/>
      <c r="AX92" s="24"/>
      <c r="AY92" s="24"/>
      <c r="AZ92" s="24"/>
      <c r="BA92" s="24"/>
      <c r="BB92" s="24"/>
      <c r="BC92" s="24"/>
      <c r="BD92" s="24"/>
      <c r="BE92" s="24"/>
      <c r="BF92" s="24"/>
      <c r="BG92" s="24"/>
      <c r="BH92" s="24"/>
      <c r="BI92" s="24"/>
      <c r="BJ92" s="24"/>
      <c r="BK92" s="24"/>
      <c r="BL92" s="24"/>
      <c r="BM92" s="24"/>
      <c r="BN92" s="24"/>
      <c r="BO92" s="24"/>
      <c r="BP92" s="24"/>
      <c r="BQ92" s="24"/>
      <c r="BR92" s="24"/>
      <c r="BS92" s="24"/>
      <c r="BT92" s="24"/>
      <c r="BU92" s="24"/>
      <c r="BV92" s="24"/>
      <c r="BW92" s="24"/>
      <c r="BX92" s="24"/>
      <c r="BY92" s="24"/>
      <c r="BZ92" s="24"/>
      <c r="CA92" s="24"/>
      <c r="CB92" s="24"/>
      <c r="CC92" s="24"/>
      <c r="CD92" s="24"/>
      <c r="CE92" s="24"/>
      <c r="CF92" s="24"/>
      <c r="CG92" s="24"/>
      <c r="CH92" s="24"/>
      <c r="CI92" s="24"/>
      <c r="CJ92" s="24"/>
      <c r="CK92" s="24"/>
      <c r="CL92" s="24"/>
      <c r="CM92" s="24"/>
      <c r="CN92" s="24"/>
      <c r="CO92" s="24"/>
      <c r="CP92" s="24"/>
      <c r="CQ92" s="24"/>
      <c r="CR92" s="24"/>
      <c r="CS92" s="24"/>
      <c r="CT92" s="24"/>
      <c r="CU92" s="24"/>
      <c r="CV92" s="24"/>
      <c r="CW92" s="24"/>
      <c r="CX92" s="24"/>
      <c r="CY92" s="24"/>
      <c r="CZ92" s="24"/>
      <c r="DA92" s="24"/>
      <c r="DB92" s="24"/>
      <c r="DC92" s="24"/>
      <c r="DD92" s="24"/>
      <c r="DE92" s="24"/>
      <c r="DF92" s="24"/>
      <c r="DG92" s="24"/>
      <c r="DH92" s="24"/>
      <c r="DI92" s="24"/>
      <c r="DJ92" s="24"/>
      <c r="DK92" s="24"/>
      <c r="DL92" s="24"/>
      <c r="DM92" s="24"/>
      <c r="DN92" s="24"/>
      <c r="DO92" s="24"/>
      <c r="DP92" s="24"/>
      <c r="DQ92" s="24"/>
      <c r="DR92" s="24"/>
      <c r="DS92" s="24"/>
      <c r="DT92" s="24"/>
      <c r="DU92" s="24"/>
      <c r="DV92" s="24"/>
      <c r="DW92" s="24"/>
      <c r="DX92" s="24"/>
      <c r="DY92" s="24"/>
      <c r="DZ92" s="24"/>
      <c r="EA92" s="24"/>
      <c r="EB92" s="24"/>
      <c r="EC92" s="24"/>
      <c r="ED92" s="24"/>
      <c r="EE92" s="24"/>
      <c r="EF92" s="24"/>
      <c r="EG92" s="24"/>
      <c r="EH92" s="24"/>
      <c r="EI92" s="24"/>
      <c r="EJ92" s="24"/>
      <c r="EK92" s="24"/>
      <c r="EL92" s="24"/>
      <c r="EM92" s="24"/>
      <c r="EN92" s="24"/>
      <c r="EO92" s="24"/>
      <c r="EP92" s="24"/>
      <c r="EQ92" s="24"/>
      <c r="ER92" s="24"/>
      <c r="ES92" s="24"/>
      <c r="ET92" s="24"/>
      <c r="EU92" s="24"/>
      <c r="EV92" s="24"/>
      <c r="EW92" s="24"/>
      <c r="EX92" s="24"/>
      <c r="EY92" s="24"/>
      <c r="EZ92" s="24"/>
      <c r="FA92" s="24"/>
      <c r="FB92" s="24"/>
      <c r="FC92" s="24"/>
      <c r="FD92" s="24"/>
      <c r="FE92" s="24"/>
      <c r="FF92" s="24"/>
      <c r="FG92" s="24"/>
      <c r="FH92" s="24"/>
      <c r="FI92" s="24"/>
      <c r="FJ92" s="24"/>
      <c r="FK92" s="24"/>
      <c r="FL92" s="24"/>
      <c r="FM92" s="24"/>
      <c r="FN92" s="24"/>
      <c r="FO92" s="24"/>
      <c r="FP92" s="24"/>
      <c r="FQ92" s="24"/>
      <c r="FR92" s="24"/>
      <c r="FS92" s="24"/>
      <c r="FT92" s="24"/>
      <c r="FU92" s="24"/>
      <c r="FV92" s="24"/>
      <c r="FW92" s="24"/>
      <c r="FX92" s="24"/>
      <c r="FY92" s="24"/>
      <c r="FZ92" s="24"/>
      <c r="GA92" s="24"/>
      <c r="GB92" s="24"/>
      <c r="GC92" s="24"/>
      <c r="GD92" s="24"/>
      <c r="GE92" s="24"/>
      <c r="GF92" s="24"/>
      <c r="GG92" s="24"/>
      <c r="GH92" s="24"/>
      <c r="GI92" s="24"/>
      <c r="GJ92" s="24"/>
      <c r="GK92" s="24"/>
      <c r="GL92" s="24"/>
      <c r="GM92" s="24"/>
      <c r="GN92" s="24"/>
      <c r="GO92" s="24"/>
      <c r="GP92" s="24"/>
      <c r="GQ92" s="24"/>
      <c r="GR92" s="24"/>
      <c r="GS92" s="24"/>
      <c r="GT92" s="24"/>
      <c r="GU92" s="24"/>
      <c r="GV92" s="24"/>
      <c r="GW92" s="24"/>
      <c r="GX92" s="24"/>
      <c r="GY92" s="24"/>
      <c r="GZ92" s="24"/>
      <c r="HA92" s="24"/>
      <c r="HB92" s="24"/>
      <c r="HC92" s="24"/>
      <c r="HD92" s="24"/>
      <c r="HE92" s="24"/>
      <c r="HF92" s="24"/>
      <c r="HG92" s="24"/>
      <c r="HH92" s="24"/>
      <c r="HI92" s="24"/>
      <c r="HJ92" s="24"/>
      <c r="HK92" s="24"/>
      <c r="HL92" s="24"/>
      <c r="HM92" s="24"/>
      <c r="HN92" s="24"/>
      <c r="HO92" s="24"/>
      <c r="HP92" s="24"/>
      <c r="HQ92" s="24"/>
      <c r="HR92" s="24"/>
      <c r="HS92" s="24"/>
      <c r="HT92" s="24"/>
      <c r="HU92" s="24"/>
      <c r="HV92" s="24"/>
      <c r="HW92" s="24"/>
      <c r="HX92" s="24"/>
      <c r="HY92" s="24"/>
      <c r="HZ92" s="24"/>
      <c r="IA92" s="24"/>
      <c r="IB92" s="24"/>
      <c r="IC92" s="24"/>
      <c r="ID92" s="24"/>
      <c r="IE92" s="24"/>
      <c r="IF92" s="24"/>
      <c r="IG92" s="24"/>
      <c r="IH92" s="24"/>
      <c r="II92" s="24"/>
      <c r="IJ92" s="24"/>
      <c r="IK92" s="24"/>
      <c r="IL92" s="24"/>
      <c r="IM92" s="24"/>
      <c r="IN92" s="24"/>
      <c r="IO92" s="24"/>
      <c r="IP92" s="24"/>
      <c r="IQ92" s="24"/>
      <c r="IR92" s="24"/>
      <c r="IS92" s="24"/>
      <c r="IT92" s="24"/>
      <c r="IU92" s="24"/>
      <c r="IV92" s="24"/>
      <c r="IW92" s="24"/>
      <c r="IX92" s="24"/>
      <c r="IY92" s="24"/>
      <c r="IZ92" s="24"/>
      <c r="JA92" s="24"/>
      <c r="JB92" s="24"/>
      <c r="JC92" s="24"/>
      <c r="JD92" s="24"/>
      <c r="JE92" s="24"/>
      <c r="JF92" s="24"/>
      <c r="JG92" s="24"/>
      <c r="JH92" s="24"/>
      <c r="JI92" s="24"/>
      <c r="JJ92" s="24"/>
      <c r="JK92" s="24"/>
      <c r="JL92" s="24"/>
      <c r="JM92" s="24"/>
      <c r="JN92" s="24"/>
      <c r="JO92" s="24"/>
      <c r="JP92" s="24"/>
      <c r="JQ92" s="24"/>
      <c r="JR92" s="24"/>
      <c r="JS92" s="24"/>
      <c r="JT92" s="24"/>
      <c r="JU92" s="24"/>
      <c r="JV92" s="24"/>
      <c r="JW92" s="24"/>
      <c r="JX92" s="24"/>
      <c r="JY92" s="24"/>
      <c r="JZ92" s="24"/>
      <c r="KA92" s="24"/>
      <c r="KB92" s="24"/>
      <c r="KC92" s="24"/>
      <c r="KD92" s="24"/>
      <c r="KE92" s="24"/>
      <c r="KF92" s="24"/>
      <c r="KG92" s="24"/>
      <c r="KH92" s="24"/>
      <c r="KI92" s="24"/>
      <c r="KJ92" s="24"/>
      <c r="KK92" s="24"/>
      <c r="KL92" s="24"/>
      <c r="KM92" s="24"/>
      <c r="KN92" s="24"/>
      <c r="KO92" s="24"/>
      <c r="KP92" s="24"/>
      <c r="KQ92" s="24"/>
      <c r="KR92" s="24"/>
      <c r="KS92" s="24"/>
      <c r="KT92" s="24"/>
      <c r="KU92" s="24"/>
      <c r="KV92" s="24"/>
      <c r="KW92" s="24"/>
      <c r="KX92" s="24"/>
      <c r="KY92" s="24"/>
      <c r="KZ92" s="24"/>
      <c r="LA92" s="24"/>
      <c r="LB92" s="24"/>
      <c r="LC92" s="24"/>
      <c r="LD92" s="24"/>
      <c r="LE92" s="24"/>
      <c r="LF92" s="24"/>
      <c r="LG92" s="24"/>
      <c r="LH92" s="24"/>
      <c r="LI92" s="24"/>
      <c r="LJ92" s="24"/>
      <c r="LK92" s="24"/>
      <c r="LL92" s="24"/>
      <c r="LM92" s="24"/>
      <c r="LN92" s="24"/>
      <c r="LO92" s="24"/>
      <c r="LP92" s="24"/>
      <c r="LQ92" s="24"/>
      <c r="LR92" s="24"/>
      <c r="LS92" s="24"/>
      <c r="LT92" s="24"/>
      <c r="LU92" s="24"/>
      <c r="LV92" s="24"/>
      <c r="LW92" s="24"/>
      <c r="LX92" s="24"/>
      <c r="LY92" s="24"/>
      <c r="LZ92" s="24"/>
      <c r="MA92" s="24"/>
      <c r="MB92" s="24"/>
      <c r="MC92" s="24"/>
      <c r="MD92" s="24"/>
      <c r="ME92" s="24"/>
      <c r="MF92" s="24"/>
      <c r="MG92" s="24"/>
      <c r="MH92" s="24"/>
      <c r="MI92" s="24"/>
      <c r="MJ92" s="24"/>
      <c r="MK92" s="24"/>
      <c r="ML92" s="24"/>
      <c r="MM92" s="24"/>
      <c r="MN92" s="24"/>
      <c r="MO92" s="24"/>
      <c r="MP92" s="24"/>
      <c r="MQ92" s="24"/>
      <c r="MR92" s="24"/>
      <c r="MS92" s="24"/>
      <c r="MT92" s="24"/>
      <c r="MU92" s="24"/>
      <c r="MV92" s="24"/>
      <c r="MW92" s="24"/>
      <c r="MX92" s="24"/>
      <c r="MY92" s="24"/>
      <c r="MZ92" s="24"/>
      <c r="NA92" s="24"/>
      <c r="NB92" s="24"/>
      <c r="NC92" s="24"/>
      <c r="ND92" s="24"/>
      <c r="NE92" s="24"/>
      <c r="NF92" s="24"/>
      <c r="NG92" s="24"/>
      <c r="NH92" s="24"/>
      <c r="NI92" s="24"/>
      <c r="NJ92" s="24"/>
      <c r="NK92" s="24"/>
      <c r="NL92" s="24"/>
      <c r="NM92" s="24"/>
      <c r="NN92" s="24"/>
      <c r="NO92" s="24"/>
      <c r="NP92" s="24"/>
      <c r="NQ92" s="24"/>
      <c r="NR92" s="24"/>
      <c r="NS92" s="24"/>
      <c r="NT92" s="24"/>
      <c r="NU92" s="24"/>
      <c r="NV92" s="24"/>
      <c r="NW92" s="24"/>
      <c r="NX92" s="24"/>
      <c r="NY92" s="24"/>
      <c r="NZ92" s="24"/>
      <c r="OA92" s="24"/>
      <c r="OB92" s="24"/>
      <c r="OC92" s="24"/>
      <c r="OD92" s="24"/>
      <c r="OE92" s="24"/>
      <c r="OF92" s="24"/>
      <c r="OG92" s="24"/>
      <c r="OH92" s="24"/>
      <c r="OI92" s="24"/>
      <c r="OJ92" s="24"/>
      <c r="OK92" s="24"/>
      <c r="OL92" s="24"/>
      <c r="OM92" s="24"/>
      <c r="ON92" s="24"/>
      <c r="OO92" s="24"/>
      <c r="OP92" s="24"/>
      <c r="OQ92" s="24"/>
      <c r="OR92" s="24"/>
      <c r="OS92" s="24"/>
      <c r="OT92" s="24"/>
      <c r="OU92" s="24"/>
      <c r="OV92" s="24"/>
      <c r="OW92" s="24"/>
      <c r="OX92" s="24"/>
      <c r="OY92" s="24"/>
      <c r="OZ92" s="24"/>
      <c r="PA92" s="24"/>
      <c r="PB92" s="24"/>
      <c r="PC92" s="24"/>
      <c r="PD92" s="24"/>
      <c r="PE92" s="24"/>
      <c r="PF92" s="24"/>
      <c r="PG92" s="24"/>
      <c r="PH92" s="24"/>
      <c r="PI92" s="24"/>
      <c r="PJ92" s="24"/>
      <c r="PK92" s="24"/>
      <c r="PL92" s="24"/>
      <c r="PM92" s="24"/>
      <c r="PN92" s="24"/>
      <c r="PO92" s="24"/>
      <c r="PP92" s="24"/>
      <c r="PQ92" s="24"/>
      <c r="PR92" s="24"/>
      <c r="PS92" s="24"/>
      <c r="PT92" s="24"/>
      <c r="PU92" s="24"/>
      <c r="PV92" s="24"/>
      <c r="PW92" s="24"/>
      <c r="PX92" s="24"/>
      <c r="PY92" s="24"/>
      <c r="PZ92" s="24"/>
      <c r="QA92" s="24"/>
      <c r="QB92" s="24"/>
      <c r="QC92" s="24"/>
      <c r="QD92" s="24"/>
      <c r="QE92" s="24"/>
      <c r="QF92" s="24"/>
      <c r="QG92" s="24"/>
      <c r="QH92" s="24"/>
      <c r="QI92" s="24"/>
      <c r="QJ92" s="24"/>
      <c r="QK92" s="24"/>
      <c r="QL92" s="24"/>
      <c r="QM92" s="24"/>
      <c r="QN92" s="24"/>
      <c r="QO92" s="24"/>
      <c r="QP92" s="24"/>
      <c r="QQ92" s="24"/>
      <c r="QR92" s="24"/>
      <c r="QS92" s="24"/>
      <c r="QT92" s="24"/>
      <c r="QU92" s="24"/>
      <c r="QV92" s="24"/>
      <c r="QW92" s="24"/>
      <c r="QX92" s="24"/>
      <c r="QY92" s="24"/>
      <c r="QZ92" s="24"/>
      <c r="RA92" s="24"/>
      <c r="RB92" s="24"/>
      <c r="RC92" s="24"/>
      <c r="RD92" s="24"/>
      <c r="RE92" s="24"/>
      <c r="RF92" s="24"/>
      <c r="RG92" s="24"/>
      <c r="RH92" s="24"/>
      <c r="RI92" s="24"/>
      <c r="RJ92" s="24"/>
      <c r="RK92" s="24"/>
      <c r="RL92" s="24"/>
      <c r="RM92" s="24"/>
      <c r="RN92" s="24"/>
      <c r="RO92" s="24"/>
      <c r="RP92" s="24"/>
      <c r="RQ92" s="24"/>
      <c r="RR92" s="24"/>
      <c r="RS92" s="24"/>
      <c r="RT92" s="24"/>
      <c r="RU92" s="24"/>
      <c r="RV92" s="24"/>
      <c r="RW92" s="24"/>
      <c r="RX92" s="24"/>
      <c r="RY92" s="24"/>
      <c r="RZ92" s="24"/>
      <c r="SA92" s="24"/>
      <c r="SB92" s="24"/>
      <c r="SC92" s="24"/>
      <c r="SD92" s="24"/>
      <c r="SE92" s="24"/>
      <c r="SF92" s="24"/>
      <c r="SG92" s="24"/>
      <c r="SH92" s="24"/>
      <c r="SI92" s="24"/>
      <c r="SJ92" s="24"/>
      <c r="SK92" s="24"/>
      <c r="SL92" s="24"/>
      <c r="SM92" s="24"/>
      <c r="SN92" s="24"/>
      <c r="SO92" s="24"/>
      <c r="SP92" s="24"/>
      <c r="SQ92" s="24"/>
      <c r="SR92" s="24"/>
      <c r="SS92" s="24"/>
      <c r="ST92" s="24"/>
      <c r="SU92" s="24"/>
      <c r="SV92" s="24"/>
      <c r="SW92" s="24"/>
      <c r="SX92" s="24"/>
      <c r="SY92" s="24"/>
      <c r="SZ92" s="24"/>
      <c r="TA92" s="24"/>
      <c r="TB92" s="24"/>
      <c r="TC92" s="24"/>
      <c r="TD92" s="24"/>
      <c r="TE92" s="24"/>
      <c r="TF92" s="24"/>
      <c r="TG92" s="24"/>
      <c r="TH92" s="24"/>
      <c r="TI92" s="24"/>
      <c r="TJ92" s="24"/>
      <c r="TK92" s="24"/>
      <c r="TL92" s="24"/>
      <c r="TM92" s="24"/>
      <c r="TN92" s="24"/>
      <c r="TO92" s="24"/>
      <c r="TP92" s="24"/>
      <c r="TQ92" s="24"/>
      <c r="TR92" s="24"/>
      <c r="TS92" s="24"/>
      <c r="TT92" s="24"/>
      <c r="TU92" s="24"/>
      <c r="TV92" s="24"/>
      <c r="TW92" s="24"/>
      <c r="TX92" s="24"/>
      <c r="TY92" s="24"/>
      <c r="TZ92" s="24"/>
      <c r="UA92" s="24"/>
      <c r="UB92" s="24"/>
      <c r="UC92" s="24"/>
      <c r="UD92" s="24"/>
      <c r="UE92" s="24"/>
      <c r="UF92" s="24"/>
      <c r="UG92" s="24"/>
      <c r="UH92" s="24"/>
      <c r="UI92" s="24"/>
      <c r="UJ92" s="24"/>
      <c r="UK92" s="24"/>
      <c r="UL92" s="24"/>
      <c r="UM92" s="24"/>
      <c r="UN92" s="24"/>
      <c r="UO92" s="24"/>
      <c r="UP92" s="24"/>
      <c r="UQ92" s="24"/>
      <c r="UR92" s="24"/>
      <c r="US92" s="24"/>
      <c r="UT92" s="24"/>
      <c r="UU92" s="24"/>
      <c r="UV92" s="24"/>
      <c r="UW92" s="24"/>
      <c r="UX92" s="24"/>
      <c r="UY92" s="24"/>
      <c r="UZ92" s="24"/>
      <c r="VA92" s="24"/>
      <c r="VB92" s="24"/>
      <c r="VC92" s="24"/>
      <c r="VD92" s="24"/>
      <c r="VE92" s="24"/>
      <c r="VF92" s="24"/>
      <c r="VG92" s="24"/>
      <c r="VH92" s="24"/>
      <c r="VI92" s="24"/>
      <c r="VJ92" s="24"/>
      <c r="VK92" s="24"/>
      <c r="VL92" s="24"/>
      <c r="VM92" s="24"/>
      <c r="VN92" s="24"/>
      <c r="VO92" s="24"/>
      <c r="VP92" s="24"/>
      <c r="VQ92" s="24"/>
      <c r="VR92" s="24"/>
      <c r="VS92" s="24"/>
      <c r="VT92" s="24"/>
      <c r="VU92" s="24"/>
      <c r="VV92" s="24"/>
      <c r="VW92" s="24"/>
      <c r="VX92" s="24"/>
      <c r="VY92" s="24"/>
      <c r="VZ92" s="24"/>
      <c r="WA92" s="24"/>
      <c r="WB92" s="24"/>
      <c r="WC92" s="24"/>
      <c r="WD92" s="24"/>
      <c r="WE92" s="24"/>
      <c r="WF92" s="24"/>
      <c r="WG92" s="24"/>
      <c r="WH92" s="24"/>
      <c r="WI92" s="24"/>
      <c r="WJ92" s="24"/>
      <c r="WK92" s="24"/>
      <c r="WL92" s="24"/>
      <c r="WM92" s="24"/>
      <c r="WN92" s="24"/>
      <c r="WO92" s="24"/>
      <c r="WP92" s="24"/>
      <c r="WQ92" s="24"/>
      <c r="WR92" s="24"/>
      <c r="WS92" s="24"/>
      <c r="WT92" s="24"/>
      <c r="WU92" s="24"/>
      <c r="WV92" s="24"/>
      <c r="WW92" s="24"/>
      <c r="WX92" s="24"/>
      <c r="WY92" s="24"/>
      <c r="WZ92" s="24"/>
      <c r="XA92" s="24"/>
      <c r="XB92" s="24"/>
      <c r="XC92" s="24"/>
      <c r="XD92" s="24"/>
      <c r="XE92" s="24"/>
      <c r="XF92" s="24"/>
      <c r="XG92" s="24"/>
      <c r="XH92" s="24"/>
      <c r="XI92" s="24"/>
      <c r="XJ92" s="24"/>
      <c r="XK92" s="24"/>
      <c r="XL92" s="24"/>
      <c r="XM92" s="24"/>
      <c r="XN92" s="24"/>
      <c r="XO92" s="24"/>
      <c r="XP92" s="24"/>
      <c r="XQ92" s="24"/>
      <c r="XR92" s="24"/>
      <c r="XS92" s="24"/>
      <c r="XT92" s="24"/>
      <c r="XU92" s="24"/>
      <c r="XV92" s="24"/>
      <c r="XW92" s="24"/>
      <c r="XX92" s="24"/>
      <c r="XY92" s="24"/>
      <c r="XZ92" s="24"/>
      <c r="YA92" s="24"/>
      <c r="YB92" s="24"/>
      <c r="YC92" s="24"/>
      <c r="YD92" s="24"/>
      <c r="YE92" s="24"/>
      <c r="YF92" s="24"/>
      <c r="YG92" s="24"/>
      <c r="YH92" s="24"/>
      <c r="YI92" s="24"/>
      <c r="YJ92" s="24"/>
      <c r="YK92" s="24"/>
      <c r="YL92" s="24"/>
      <c r="YM92" s="24"/>
      <c r="YN92" s="24"/>
      <c r="YO92" s="24"/>
      <c r="YP92" s="24"/>
      <c r="YQ92" s="24"/>
      <c r="YR92" s="24"/>
      <c r="YS92" s="24"/>
      <c r="YT92" s="24"/>
      <c r="YU92" s="24"/>
      <c r="YV92" s="24"/>
      <c r="YW92" s="24"/>
      <c r="YX92" s="24"/>
      <c r="YY92" s="24"/>
      <c r="YZ92" s="24"/>
      <c r="ZA92" s="24"/>
      <c r="ZB92" s="24"/>
      <c r="ZC92" s="24"/>
      <c r="ZD92" s="24"/>
      <c r="ZE92" s="24"/>
      <c r="ZF92" s="24"/>
      <c r="ZG92" s="24"/>
      <c r="ZH92" s="24"/>
      <c r="ZI92" s="24"/>
      <c r="ZJ92" s="24"/>
      <c r="ZK92" s="24"/>
      <c r="ZL92" s="24"/>
      <c r="ZM92" s="24"/>
      <c r="ZN92" s="24"/>
      <c r="ZO92" s="24"/>
      <c r="ZP92" s="24"/>
      <c r="ZQ92" s="24"/>
      <c r="ZR92" s="24"/>
      <c r="ZS92" s="24"/>
      <c r="ZT92" s="24"/>
      <c r="ZU92" s="24"/>
      <c r="ZV92" s="24"/>
      <c r="ZW92" s="24"/>
      <c r="ZX92" s="24"/>
      <c r="ZY92" s="24"/>
      <c r="ZZ92" s="24"/>
      <c r="AAA92" s="24"/>
      <c r="AAB92" s="24"/>
      <c r="AAC92" s="24"/>
      <c r="AAD92" s="24"/>
      <c r="AAE92" s="24"/>
      <c r="AAF92" s="24"/>
      <c r="AAG92" s="24"/>
      <c r="AAH92" s="24"/>
      <c r="AAI92" s="24"/>
      <c r="AAJ92" s="24"/>
      <c r="AAK92" s="24"/>
      <c r="AAL92" s="24"/>
      <c r="AAM92" s="24"/>
      <c r="AAN92" s="24"/>
      <c r="AAO92" s="24"/>
      <c r="AAP92" s="24"/>
      <c r="AAQ92" s="24"/>
      <c r="AAR92" s="24"/>
      <c r="AAS92" s="24"/>
      <c r="AAT92" s="24"/>
      <c r="AAU92" s="24"/>
      <c r="AAV92" s="24"/>
      <c r="AAW92" s="24"/>
      <c r="AAX92" s="24"/>
      <c r="AAY92" s="24"/>
      <c r="AAZ92" s="24"/>
      <c r="ABA92" s="24"/>
      <c r="ABB92" s="24"/>
      <c r="ABC92" s="24"/>
      <c r="ABD92" s="24"/>
      <c r="ABE92" s="24"/>
      <c r="ABF92" s="24"/>
      <c r="ABG92" s="24"/>
      <c r="ABH92" s="24"/>
      <c r="ABI92" s="24"/>
      <c r="ABJ92" s="24"/>
      <c r="ABK92" s="24"/>
      <c r="ABL92" s="24"/>
      <c r="ABM92" s="24"/>
      <c r="ABN92" s="24"/>
      <c r="ABO92" s="24"/>
      <c r="ABP92" s="24"/>
      <c r="ABQ92" s="24"/>
      <c r="ABR92" s="24"/>
      <c r="ABS92" s="24"/>
      <c r="ABT92" s="24"/>
      <c r="ABU92" s="24"/>
      <c r="ABV92" s="24"/>
      <c r="ABW92" s="24"/>
      <c r="ABX92" s="24"/>
      <c r="ABY92" s="24"/>
      <c r="ABZ92" s="24"/>
      <c r="ACA92" s="24"/>
      <c r="ACB92" s="24"/>
      <c r="ACC92" s="24"/>
      <c r="ACD92" s="24"/>
      <c r="ACE92" s="24"/>
      <c r="ACF92" s="24"/>
      <c r="ACG92" s="24"/>
      <c r="ACH92" s="24"/>
      <c r="ACI92" s="24"/>
      <c r="ACJ92" s="24"/>
      <c r="ACK92" s="24"/>
      <c r="ACL92" s="24"/>
      <c r="ACM92" s="24"/>
      <c r="ACN92" s="24"/>
      <c r="ACO92" s="24"/>
      <c r="ACP92" s="24"/>
      <c r="ACQ92" s="24"/>
      <c r="ACR92" s="24"/>
      <c r="ACS92" s="24"/>
      <c r="ACT92" s="24"/>
      <c r="ACU92" s="24"/>
      <c r="ACV92" s="24"/>
      <c r="ACW92" s="24"/>
      <c r="ACX92" s="24"/>
      <c r="ACY92" s="24"/>
      <c r="ACZ92" s="24"/>
      <c r="ADA92" s="24"/>
      <c r="ADB92" s="24"/>
      <c r="ADC92" s="24"/>
      <c r="ADD92" s="24"/>
      <c r="ADE92" s="24"/>
      <c r="ADF92" s="24"/>
      <c r="ADG92" s="24"/>
      <c r="ADH92" s="24"/>
      <c r="ADI92" s="24"/>
      <c r="ADJ92" s="24"/>
      <c r="ADK92" s="24"/>
      <c r="ADL92" s="24"/>
      <c r="ADM92" s="24"/>
      <c r="ADN92" s="24"/>
      <c r="ADO92" s="24"/>
      <c r="ADP92" s="24"/>
      <c r="ADQ92" s="24"/>
      <c r="ADR92" s="24"/>
      <c r="ADS92" s="24"/>
      <c r="ADT92" s="24"/>
      <c r="ADU92" s="24"/>
      <c r="ADV92" s="24"/>
      <c r="ADW92" s="24"/>
      <c r="ADX92" s="24"/>
      <c r="ADY92" s="24"/>
      <c r="ADZ92" s="24"/>
      <c r="AEA92" s="24"/>
      <c r="AEB92" s="24"/>
      <c r="AEC92" s="24"/>
      <c r="AED92" s="24"/>
      <c r="AEE92" s="24"/>
      <c r="AEF92" s="24"/>
      <c r="AEG92" s="24"/>
      <c r="AEH92" s="24"/>
      <c r="AEI92" s="24"/>
      <c r="AEJ92" s="24"/>
      <c r="AEK92" s="24"/>
      <c r="AEL92" s="24"/>
      <c r="AEM92" s="24"/>
      <c r="AEN92" s="24"/>
      <c r="AEO92" s="24"/>
      <c r="AEP92" s="24"/>
      <c r="AEQ92" s="24"/>
      <c r="AER92" s="24"/>
      <c r="AES92" s="24"/>
      <c r="AET92" s="24"/>
      <c r="AEU92" s="24"/>
      <c r="AEV92" s="24"/>
      <c r="AEW92" s="24"/>
      <c r="AEX92" s="24"/>
      <c r="AEY92" s="24"/>
      <c r="AEZ92" s="24"/>
      <c r="AFA92" s="24"/>
      <c r="AFB92" s="24"/>
      <c r="AFC92" s="24"/>
      <c r="AFD92" s="24"/>
      <c r="AFE92" s="24"/>
      <c r="AFF92" s="24"/>
      <c r="AFG92" s="24"/>
      <c r="AFH92" s="24"/>
      <c r="AFI92" s="24"/>
      <c r="AFJ92" s="24"/>
      <c r="AFK92" s="24"/>
      <c r="AFL92" s="24"/>
      <c r="AFM92" s="24"/>
      <c r="AFN92" s="24"/>
      <c r="AFO92" s="24"/>
      <c r="AFP92" s="24"/>
      <c r="AFQ92" s="24"/>
      <c r="AFR92" s="24"/>
      <c r="AFS92" s="24"/>
      <c r="AFT92" s="24"/>
      <c r="AFU92" s="24"/>
      <c r="AFV92" s="24"/>
      <c r="AFW92" s="24"/>
      <c r="AFX92" s="24"/>
      <c r="AFY92" s="24"/>
      <c r="AFZ92" s="24"/>
      <c r="AGA92" s="24"/>
      <c r="AGB92" s="24"/>
      <c r="AGC92" s="24"/>
      <c r="AGD92" s="24"/>
      <c r="AGE92" s="24"/>
      <c r="AGF92" s="24"/>
      <c r="AGG92" s="24"/>
      <c r="AGH92" s="24"/>
      <c r="AGI92" s="24"/>
      <c r="AGJ92" s="24"/>
      <c r="AGK92" s="24"/>
      <c r="AGL92" s="24"/>
      <c r="AGM92" s="24"/>
      <c r="AGN92" s="24"/>
      <c r="AGO92" s="24"/>
      <c r="AGP92" s="24"/>
      <c r="AGQ92" s="24"/>
      <c r="AGR92" s="24"/>
      <c r="AGS92" s="24"/>
      <c r="AGT92" s="24"/>
      <c r="AGU92" s="24"/>
      <c r="AGV92" s="24"/>
      <c r="AGW92" s="24"/>
      <c r="AGX92" s="24"/>
      <c r="AGY92" s="24"/>
      <c r="AGZ92" s="24"/>
      <c r="AHA92" s="24"/>
      <c r="AHB92" s="24"/>
      <c r="AHC92" s="24"/>
      <c r="AHD92" s="24"/>
      <c r="AHE92" s="24"/>
      <c r="AHF92" s="24"/>
      <c r="AHG92" s="24"/>
      <c r="AHH92" s="24"/>
      <c r="AHI92" s="24"/>
      <c r="AHJ92" s="24"/>
      <c r="AHK92" s="24"/>
      <c r="AHL92" s="24"/>
      <c r="AHM92" s="24"/>
      <c r="AHN92" s="24"/>
      <c r="AHO92" s="24"/>
      <c r="AHP92" s="24"/>
      <c r="AHQ92" s="24"/>
      <c r="AHR92" s="24"/>
      <c r="AHS92" s="24"/>
      <c r="AHT92" s="24"/>
      <c r="AHU92" s="24"/>
      <c r="AHV92" s="24"/>
      <c r="AHW92" s="24"/>
      <c r="AHX92" s="24"/>
      <c r="AHY92" s="24"/>
      <c r="AHZ92" s="24"/>
      <c r="AIA92" s="24"/>
      <c r="AIB92" s="24"/>
      <c r="AIC92" s="24"/>
      <c r="AID92" s="24"/>
      <c r="AIE92" s="24"/>
      <c r="AIF92" s="24"/>
      <c r="AIG92" s="24"/>
      <c r="AIH92" s="24"/>
      <c r="AII92" s="24"/>
      <c r="AIJ92" s="24"/>
      <c r="AIK92" s="24"/>
      <c r="AIL92" s="24"/>
      <c r="AIM92" s="24"/>
      <c r="AIN92" s="24"/>
      <c r="AIO92" s="24"/>
      <c r="AIP92" s="24"/>
      <c r="AIQ92" s="24"/>
      <c r="AIR92" s="24"/>
      <c r="AIS92" s="24"/>
      <c r="AIT92" s="24"/>
      <c r="AIU92" s="24"/>
      <c r="AIV92" s="24"/>
      <c r="AIW92" s="24"/>
      <c r="AIX92" s="24"/>
      <c r="AIY92" s="24"/>
      <c r="AIZ92" s="24"/>
      <c r="AJA92" s="24"/>
      <c r="AJB92" s="24"/>
      <c r="AJC92" s="24"/>
      <c r="AJD92" s="24"/>
      <c r="AJE92" s="24"/>
      <c r="AJF92" s="24"/>
      <c r="AJG92" s="24"/>
      <c r="AJH92" s="24"/>
      <c r="AJI92" s="24"/>
      <c r="AJJ92" s="24"/>
      <c r="AJK92" s="24"/>
      <c r="AJL92" s="24"/>
      <c r="AJM92" s="24"/>
      <c r="AJN92" s="24"/>
      <c r="AJO92" s="24"/>
      <c r="AJP92" s="24"/>
      <c r="AJQ92" s="24"/>
      <c r="AJR92" s="24"/>
      <c r="AJS92" s="24"/>
      <c r="AJT92" s="24"/>
      <c r="AJU92" s="24"/>
      <c r="AJV92" s="24"/>
      <c r="AJW92" s="24"/>
      <c r="AJX92" s="24"/>
      <c r="AJY92" s="24"/>
      <c r="AJZ92" s="24"/>
      <c r="AKA92" s="24"/>
      <c r="AKB92" s="24"/>
      <c r="AKC92" s="24"/>
      <c r="AKD92" s="24"/>
      <c r="AKE92" s="24"/>
      <c r="AKF92" s="24"/>
      <c r="AKG92" s="24"/>
      <c r="AKH92" s="24"/>
      <c r="AKI92" s="24"/>
      <c r="AKJ92" s="24"/>
      <c r="AKK92" s="24"/>
      <c r="AKL92" s="24"/>
      <c r="AKM92" s="24"/>
      <c r="AKN92" s="24"/>
      <c r="AKO92" s="24"/>
      <c r="AKP92" s="24"/>
      <c r="AKQ92" s="24"/>
      <c r="AKR92" s="24"/>
      <c r="AKS92" s="24"/>
      <c r="AKT92" s="24"/>
      <c r="AKU92" s="24"/>
      <c r="AKV92" s="24"/>
      <c r="AKW92" s="24"/>
      <c r="AKX92" s="24"/>
      <c r="AKY92" s="24"/>
      <c r="AKZ92" s="24"/>
      <c r="ALA92" s="24"/>
      <c r="ALB92" s="24"/>
      <c r="ALC92" s="24"/>
      <c r="ALD92" s="24"/>
      <c r="ALE92" s="24"/>
      <c r="ALF92" s="24"/>
      <c r="ALG92" s="24"/>
      <c r="ALH92" s="24"/>
      <c r="ALI92" s="24"/>
      <c r="ALJ92" s="24"/>
      <c r="ALK92" s="24"/>
      <c r="ALL92" s="24"/>
      <c r="ALM92" s="24"/>
      <c r="ALN92" s="24"/>
      <c r="ALO92" s="24"/>
      <c r="ALP92" s="24"/>
      <c r="ALQ92" s="24"/>
      <c r="ALR92" s="24"/>
      <c r="ALS92" s="24"/>
      <c r="ALT92" s="24"/>
      <c r="ALU92" s="24"/>
      <c r="ALV92" s="24"/>
      <c r="ALW92" s="24"/>
      <c r="ALX92" s="24"/>
      <c r="ALY92" s="24"/>
      <c r="ALZ92" s="24"/>
      <c r="AMA92" s="24"/>
      <c r="AMB92" s="24"/>
      <c r="AMC92" s="24"/>
      <c r="AMD92" s="24"/>
      <c r="AME92" s="24"/>
      <c r="AMF92" s="24"/>
      <c r="AMG92" s="24"/>
      <c r="AMH92" s="24"/>
      <c r="AMI92" s="24"/>
      <c r="AMJ92" s="24"/>
      <c r="AMK92" s="24"/>
      <c r="AML92" s="24"/>
      <c r="AMM92" s="24"/>
      <c r="AMN92" s="24"/>
      <c r="AMO92" s="24"/>
      <c r="AMP92" s="24"/>
      <c r="AMQ92" s="24"/>
      <c r="AMR92" s="24"/>
      <c r="AMS92" s="24"/>
      <c r="AMT92" s="24"/>
      <c r="AMU92" s="24"/>
      <c r="AMV92" s="24"/>
      <c r="AMW92" s="24"/>
      <c r="AMX92" s="24"/>
      <c r="AMY92" s="24"/>
      <c r="AMZ92" s="24"/>
      <c r="ANA92" s="24"/>
      <c r="ANB92" s="24"/>
      <c r="ANC92" s="24"/>
      <c r="AND92" s="24"/>
      <c r="ANE92" s="24"/>
      <c r="ANF92" s="24"/>
      <c r="ANG92" s="24"/>
      <c r="ANH92" s="24"/>
      <c r="ANI92" s="24"/>
      <c r="ANJ92" s="24"/>
      <c r="ANK92" s="24"/>
      <c r="ANL92" s="24"/>
      <c r="ANM92" s="24"/>
      <c r="ANN92" s="24"/>
      <c r="ANO92" s="24"/>
      <c r="ANP92" s="24"/>
      <c r="ANQ92" s="24"/>
      <c r="ANR92" s="24"/>
      <c r="ANS92" s="24"/>
      <c r="ANT92" s="24"/>
      <c r="ANU92" s="24"/>
      <c r="ANV92" s="24"/>
      <c r="ANW92" s="24"/>
      <c r="ANX92" s="24"/>
      <c r="ANY92" s="24"/>
      <c r="ANZ92" s="24"/>
      <c r="AOA92" s="24"/>
      <c r="AOB92" s="24"/>
      <c r="AOC92" s="24"/>
      <c r="AOD92" s="24"/>
      <c r="AOE92" s="24"/>
      <c r="AOF92" s="24"/>
      <c r="AOG92" s="24"/>
      <c r="AOH92" s="24"/>
      <c r="AOI92" s="24"/>
      <c r="AOJ92" s="24"/>
      <c r="AOK92" s="24"/>
      <c r="AOL92" s="24"/>
      <c r="AOM92" s="24"/>
      <c r="AON92" s="24"/>
      <c r="AOO92" s="24"/>
      <c r="AOP92" s="24"/>
      <c r="AOQ92" s="24"/>
      <c r="AOR92" s="24"/>
      <c r="AOS92" s="24"/>
      <c r="AOT92" s="24"/>
      <c r="AOU92" s="24"/>
      <c r="AOV92" s="24"/>
      <c r="AOW92" s="24"/>
      <c r="AOX92" s="24"/>
      <c r="AOY92" s="24"/>
      <c r="AOZ92" s="24"/>
      <c r="APA92" s="24"/>
      <c r="APB92" s="24"/>
      <c r="APC92" s="24"/>
      <c r="APD92" s="24"/>
      <c r="APE92" s="24"/>
      <c r="APF92" s="24"/>
      <c r="APG92" s="24"/>
      <c r="APH92" s="24"/>
      <c r="API92" s="24"/>
      <c r="APJ92" s="24"/>
      <c r="APK92" s="24"/>
      <c r="APL92" s="24"/>
      <c r="APM92" s="24"/>
      <c r="APN92" s="24"/>
      <c r="APO92" s="24"/>
      <c r="APP92" s="24"/>
      <c r="APQ92" s="24"/>
      <c r="APR92" s="24"/>
      <c r="APS92" s="24"/>
      <c r="APT92" s="24"/>
      <c r="APU92" s="24"/>
      <c r="APV92" s="24"/>
      <c r="APW92" s="24"/>
      <c r="APX92" s="24"/>
      <c r="APY92" s="24"/>
      <c r="APZ92" s="24"/>
      <c r="AQA92" s="24"/>
      <c r="AQB92" s="24"/>
      <c r="AQC92" s="24"/>
      <c r="AQD92" s="24"/>
      <c r="AQE92" s="24"/>
      <c r="AQF92" s="24"/>
      <c r="AQG92" s="24"/>
      <c r="AQH92" s="24"/>
      <c r="AQI92" s="24"/>
      <c r="AQJ92" s="24"/>
      <c r="AQK92" s="24"/>
      <c r="AQL92" s="24"/>
      <c r="AQM92" s="24"/>
      <c r="AQN92" s="24"/>
      <c r="AQO92" s="24"/>
      <c r="AQP92" s="24"/>
      <c r="AQQ92" s="24"/>
      <c r="AQR92" s="24"/>
      <c r="AQS92" s="24"/>
      <c r="AQT92" s="24"/>
      <c r="AQU92" s="24"/>
      <c r="AQV92" s="24"/>
      <c r="AQW92" s="24"/>
      <c r="AQX92" s="24"/>
      <c r="AQY92" s="24"/>
      <c r="AQZ92" s="24"/>
      <c r="ARA92" s="24"/>
      <c r="ARB92" s="24"/>
      <c r="ARC92" s="24"/>
      <c r="ARD92" s="24"/>
      <c r="ARE92" s="24"/>
      <c r="ARF92" s="24"/>
      <c r="ARG92" s="24"/>
      <c r="ARH92" s="24"/>
      <c r="ARI92" s="24"/>
      <c r="ARJ92" s="24"/>
      <c r="ARK92" s="24"/>
      <c r="ARL92" s="24"/>
      <c r="ARM92" s="24"/>
      <c r="ARN92" s="24"/>
      <c r="ARO92" s="24"/>
      <c r="ARP92" s="24"/>
      <c r="ARQ92" s="24"/>
      <c r="ARR92" s="24"/>
      <c r="ARS92" s="24"/>
      <c r="ART92" s="24"/>
      <c r="ARU92" s="24"/>
      <c r="ARV92" s="24"/>
      <c r="ARW92" s="24"/>
      <c r="ARX92" s="24"/>
      <c r="ARY92" s="24"/>
      <c r="ARZ92" s="24"/>
      <c r="ASA92" s="24"/>
      <c r="ASB92" s="24"/>
      <c r="ASC92" s="24"/>
      <c r="ASD92" s="24"/>
      <c r="ASE92" s="24"/>
      <c r="ASF92" s="24"/>
      <c r="ASG92" s="24"/>
      <c r="ASH92" s="24"/>
      <c r="ASI92" s="24"/>
      <c r="ASJ92" s="24"/>
      <c r="ASK92" s="24"/>
      <c r="ASL92" s="24"/>
      <c r="ASM92" s="24"/>
      <c r="ASN92" s="24"/>
      <c r="ASO92" s="24"/>
      <c r="ASP92" s="24"/>
      <c r="ASQ92" s="24"/>
      <c r="ASR92" s="24"/>
      <c r="ASS92" s="24"/>
      <c r="AST92" s="24"/>
      <c r="ASU92" s="24"/>
      <c r="ASV92" s="24"/>
      <c r="ASW92" s="24"/>
      <c r="ASX92" s="24"/>
      <c r="ASY92" s="24"/>
      <c r="ASZ92" s="24"/>
      <c r="ATA92" s="24"/>
      <c r="ATB92" s="24"/>
      <c r="ATC92" s="24"/>
      <c r="ATD92" s="24"/>
      <c r="ATE92" s="24"/>
      <c r="ATF92" s="24"/>
      <c r="ATG92" s="24"/>
      <c r="ATH92" s="24"/>
      <c r="ATI92" s="24"/>
      <c r="ATJ92" s="24"/>
      <c r="ATK92" s="24"/>
      <c r="ATL92" s="24"/>
      <c r="ATM92" s="24"/>
      <c r="ATN92" s="24"/>
      <c r="ATO92" s="24"/>
      <c r="ATP92" s="24"/>
      <c r="ATQ92" s="24"/>
      <c r="ATR92" s="24"/>
      <c r="ATS92" s="24"/>
      <c r="ATT92" s="24"/>
      <c r="ATU92" s="24"/>
      <c r="ATV92" s="24"/>
      <c r="ATW92" s="24"/>
      <c r="ATX92" s="24"/>
      <c r="ATY92" s="24"/>
      <c r="ATZ92" s="24"/>
      <c r="AUA92" s="24"/>
      <c r="AUB92" s="24"/>
      <c r="AUC92" s="24"/>
      <c r="AUD92" s="24"/>
      <c r="AUE92" s="24"/>
      <c r="AUF92" s="24"/>
      <c r="AUG92" s="24"/>
      <c r="AUH92" s="24"/>
      <c r="AUI92" s="24"/>
      <c r="AUJ92" s="24"/>
      <c r="AUK92" s="24"/>
      <c r="AUL92" s="24"/>
      <c r="AUM92" s="24"/>
      <c r="AUN92" s="24"/>
      <c r="AUO92" s="24"/>
      <c r="AUP92" s="24"/>
      <c r="AUQ92" s="24"/>
      <c r="AUR92" s="24"/>
      <c r="AUS92" s="24"/>
      <c r="AUT92" s="24"/>
      <c r="AUU92" s="24"/>
      <c r="AUV92" s="24"/>
      <c r="AUW92" s="24"/>
      <c r="AUX92" s="24"/>
      <c r="AUY92" s="24"/>
      <c r="AUZ92" s="24"/>
      <c r="AVA92" s="24"/>
      <c r="AVB92" s="24"/>
      <c r="AVC92" s="24"/>
      <c r="AVD92" s="24"/>
      <c r="AVE92" s="24"/>
      <c r="AVF92" s="24"/>
      <c r="AVG92" s="24"/>
      <c r="AVH92" s="24"/>
      <c r="AVI92" s="24"/>
      <c r="AVJ92" s="24"/>
      <c r="AVK92" s="24"/>
      <c r="AVL92" s="24"/>
      <c r="AVM92" s="24"/>
      <c r="AVN92" s="24"/>
      <c r="AVO92" s="24"/>
      <c r="AVP92" s="24"/>
      <c r="AVQ92" s="24"/>
      <c r="AVR92" s="24"/>
      <c r="AVS92" s="24"/>
      <c r="AVT92" s="24"/>
      <c r="AVU92" s="24"/>
      <c r="AVV92" s="24"/>
      <c r="AVW92" s="24"/>
      <c r="AVX92" s="24"/>
      <c r="AVY92" s="24"/>
      <c r="AVZ92" s="24"/>
      <c r="AWA92" s="24"/>
      <c r="AWB92" s="24"/>
      <c r="AWC92" s="24"/>
      <c r="AWD92" s="24"/>
      <c r="AWE92" s="24"/>
      <c r="AWF92" s="24"/>
      <c r="AWG92" s="24"/>
      <c r="AWH92" s="24"/>
      <c r="AWI92" s="24"/>
      <c r="AWJ92" s="24"/>
      <c r="AWK92" s="24"/>
      <c r="AWL92" s="24"/>
      <c r="AWM92" s="24"/>
      <c r="AWN92" s="24"/>
      <c r="AWO92" s="24"/>
      <c r="AWP92" s="24"/>
      <c r="AWQ92" s="24"/>
      <c r="AWR92" s="24"/>
      <c r="AWS92" s="24"/>
      <c r="AWT92" s="24"/>
      <c r="AWU92" s="24"/>
      <c r="AWV92" s="24"/>
      <c r="AWW92" s="24"/>
      <c r="AWX92" s="24"/>
      <c r="AWY92" s="24"/>
      <c r="AWZ92" s="24"/>
      <c r="AXA92" s="24"/>
      <c r="AXB92" s="24"/>
      <c r="AXC92" s="24"/>
      <c r="AXD92" s="24"/>
      <c r="AXE92" s="24"/>
      <c r="AXF92" s="24"/>
      <c r="AXG92" s="24"/>
      <c r="AXH92" s="24"/>
      <c r="AXI92" s="24"/>
      <c r="AXJ92" s="24"/>
      <c r="AXK92" s="24"/>
      <c r="AXL92" s="24"/>
      <c r="AXM92" s="24"/>
      <c r="AXN92" s="24"/>
      <c r="AXO92" s="24"/>
      <c r="AXP92" s="24"/>
      <c r="AXQ92" s="24"/>
      <c r="AXR92" s="24"/>
      <c r="AXS92" s="24"/>
      <c r="AXT92" s="24"/>
      <c r="AXU92" s="24"/>
      <c r="AXV92" s="24"/>
      <c r="AXW92" s="24"/>
      <c r="AXX92" s="24"/>
      <c r="AXY92" s="24"/>
      <c r="AXZ92" s="24"/>
      <c r="AYA92" s="24"/>
      <c r="AYB92" s="24"/>
      <c r="AYC92" s="24"/>
      <c r="AYD92" s="24"/>
      <c r="AYE92" s="24"/>
      <c r="AYF92" s="24"/>
      <c r="AYG92" s="24"/>
      <c r="AYH92" s="24"/>
      <c r="AYI92" s="24"/>
      <c r="AYJ92" s="24"/>
      <c r="AYK92" s="24"/>
      <c r="AYL92" s="24"/>
      <c r="AYM92" s="24"/>
      <c r="AYN92" s="24"/>
      <c r="AYO92" s="24"/>
      <c r="AYP92" s="24"/>
      <c r="AYQ92" s="24"/>
      <c r="AYR92" s="24"/>
      <c r="AYS92" s="24"/>
      <c r="AYT92" s="24"/>
      <c r="AYU92" s="24"/>
      <c r="AYV92" s="24"/>
      <c r="AYW92" s="24"/>
      <c r="AYX92" s="24"/>
      <c r="AYY92" s="24"/>
      <c r="AYZ92" s="24"/>
      <c r="AZA92" s="24"/>
      <c r="AZB92" s="24"/>
      <c r="AZC92" s="24"/>
      <c r="AZD92" s="24"/>
      <c r="AZE92" s="24"/>
      <c r="AZF92" s="24"/>
      <c r="AZG92" s="24"/>
      <c r="AZH92" s="24"/>
      <c r="AZI92" s="24"/>
      <c r="AZJ92" s="24"/>
      <c r="AZK92" s="24"/>
      <c r="AZL92" s="24"/>
      <c r="AZM92" s="24"/>
      <c r="AZN92" s="24"/>
      <c r="AZO92" s="24"/>
      <c r="AZP92" s="24"/>
      <c r="AZQ92" s="24"/>
      <c r="AZR92" s="24"/>
      <c r="AZS92" s="24"/>
      <c r="AZT92" s="24"/>
      <c r="AZU92" s="24"/>
      <c r="AZV92" s="24"/>
      <c r="AZW92" s="24"/>
      <c r="AZX92" s="24"/>
      <c r="AZY92" s="24"/>
      <c r="AZZ92" s="24"/>
      <c r="BAA92" s="24"/>
      <c r="BAB92" s="24"/>
      <c r="BAC92" s="24"/>
      <c r="BAD92" s="24"/>
      <c r="BAE92" s="24"/>
      <c r="BAF92" s="24"/>
      <c r="BAG92" s="24"/>
      <c r="BAH92" s="24"/>
      <c r="BAI92" s="24"/>
      <c r="BAJ92" s="24"/>
      <c r="BAK92" s="24"/>
      <c r="BAL92" s="24"/>
      <c r="BAM92" s="24"/>
      <c r="BAN92" s="24"/>
      <c r="BAO92" s="24"/>
      <c r="BAP92" s="24"/>
      <c r="BAQ92" s="24"/>
      <c r="BAR92" s="24"/>
      <c r="BAS92" s="24"/>
      <c r="BAT92" s="24"/>
      <c r="BAU92" s="24"/>
      <c r="BAV92" s="24"/>
      <c r="BAW92" s="24"/>
      <c r="BAX92" s="24"/>
      <c r="BAY92" s="24"/>
      <c r="BAZ92" s="24"/>
      <c r="BBA92" s="24"/>
      <c r="BBB92" s="24"/>
      <c r="BBC92" s="24"/>
      <c r="BBD92" s="24"/>
      <c r="BBE92" s="24"/>
      <c r="BBF92" s="24"/>
      <c r="BBG92" s="24"/>
      <c r="BBH92" s="24"/>
      <c r="BBI92" s="24"/>
      <c r="BBJ92" s="24"/>
      <c r="BBK92" s="24"/>
      <c r="BBL92" s="24"/>
      <c r="BBM92" s="24"/>
      <c r="BBN92" s="24"/>
      <c r="BBO92" s="24"/>
      <c r="BBP92" s="24"/>
      <c r="BBQ92" s="24"/>
      <c r="BBR92" s="24"/>
      <c r="BBS92" s="24"/>
      <c r="BBT92" s="24"/>
      <c r="BBU92" s="24"/>
      <c r="BBV92" s="24"/>
      <c r="BBW92" s="24"/>
      <c r="BBX92" s="24"/>
      <c r="BBY92" s="24"/>
      <c r="BBZ92" s="24"/>
      <c r="BCA92" s="24"/>
      <c r="BCB92" s="24"/>
      <c r="BCC92" s="24"/>
      <c r="BCD92" s="24"/>
      <c r="BCE92" s="24"/>
      <c r="BCF92" s="24"/>
      <c r="BCG92" s="24"/>
      <c r="BCH92" s="24"/>
      <c r="BCI92" s="24"/>
      <c r="BCJ92" s="24"/>
      <c r="BCK92" s="24"/>
      <c r="BCL92" s="24"/>
      <c r="BCM92" s="24"/>
      <c r="BCN92" s="24"/>
      <c r="BCO92" s="24"/>
      <c r="BCP92" s="24"/>
      <c r="BCQ92" s="24"/>
      <c r="BCR92" s="24"/>
      <c r="BCS92" s="24"/>
      <c r="BCT92" s="24"/>
      <c r="BCU92" s="24"/>
      <c r="BCV92" s="24"/>
      <c r="BCW92" s="24"/>
      <c r="BCX92" s="24"/>
      <c r="BCY92" s="24"/>
      <c r="BCZ92" s="24"/>
      <c r="BDA92" s="24"/>
      <c r="BDB92" s="24"/>
      <c r="BDC92" s="24"/>
      <c r="BDD92" s="24"/>
      <c r="BDE92" s="24"/>
      <c r="BDF92" s="24"/>
      <c r="BDG92" s="24"/>
      <c r="BDH92" s="24"/>
      <c r="BDI92" s="24"/>
      <c r="BDJ92" s="24"/>
      <c r="BDK92" s="24"/>
      <c r="BDL92" s="24"/>
      <c r="BDM92" s="24"/>
      <c r="BDN92" s="24"/>
      <c r="BDO92" s="24"/>
      <c r="BDP92" s="24"/>
      <c r="BDQ92" s="24"/>
      <c r="BDR92" s="24"/>
      <c r="BDS92" s="24"/>
      <c r="BDT92" s="24"/>
      <c r="BDU92" s="24"/>
      <c r="BDV92" s="24"/>
      <c r="BDW92" s="24"/>
      <c r="BDX92" s="24"/>
      <c r="BDY92" s="24"/>
      <c r="BDZ92" s="24"/>
      <c r="BEA92" s="24"/>
      <c r="BEB92" s="24"/>
      <c r="BEC92" s="24"/>
      <c r="BED92" s="24"/>
      <c r="BEE92" s="24"/>
      <c r="BEF92" s="24"/>
      <c r="BEG92" s="24"/>
      <c r="BEH92" s="24"/>
      <c r="BEI92" s="24"/>
      <c r="BEJ92" s="24"/>
      <c r="BEK92" s="24"/>
      <c r="BEL92" s="24"/>
      <c r="BEM92" s="24"/>
      <c r="BEN92" s="24"/>
      <c r="BEO92" s="24"/>
      <c r="BEP92" s="24"/>
      <c r="BEQ92" s="24"/>
      <c r="BER92" s="24"/>
      <c r="BES92" s="24"/>
      <c r="BET92" s="24"/>
      <c r="BEU92" s="24"/>
      <c r="BEV92" s="24"/>
      <c r="BEW92" s="24"/>
      <c r="BEX92" s="24"/>
      <c r="BEY92" s="24"/>
      <c r="BEZ92" s="24"/>
      <c r="BFA92" s="24"/>
      <c r="BFB92" s="24"/>
      <c r="BFC92" s="24"/>
      <c r="BFD92" s="24"/>
      <c r="BFE92" s="24"/>
      <c r="BFF92" s="24"/>
      <c r="BFG92" s="24"/>
      <c r="BFH92" s="24"/>
      <c r="BFI92" s="24"/>
      <c r="BFJ92" s="24"/>
      <c r="BFK92" s="24"/>
      <c r="BFL92" s="24"/>
      <c r="BFM92" s="24"/>
      <c r="BFN92" s="24"/>
      <c r="BFO92" s="24"/>
      <c r="BFP92" s="24"/>
      <c r="BFQ92" s="24"/>
      <c r="BFR92" s="24"/>
      <c r="BFS92" s="24"/>
      <c r="BFT92" s="24"/>
      <c r="BFU92" s="24"/>
      <c r="BFV92" s="24"/>
      <c r="BFW92" s="24"/>
      <c r="BFX92" s="24"/>
      <c r="BFY92" s="24"/>
      <c r="BFZ92" s="24"/>
      <c r="BGA92" s="24"/>
      <c r="BGB92" s="24"/>
      <c r="BGC92" s="24"/>
      <c r="BGD92" s="24"/>
      <c r="BGE92" s="24"/>
      <c r="BGF92" s="24"/>
      <c r="BGG92" s="24"/>
      <c r="BGH92" s="24"/>
      <c r="BGI92" s="24"/>
      <c r="BGJ92" s="24"/>
      <c r="BGK92" s="24"/>
      <c r="BGL92" s="24"/>
      <c r="BGM92" s="24"/>
      <c r="BGN92" s="24"/>
      <c r="BGO92" s="24"/>
      <c r="BGP92" s="24"/>
      <c r="BGQ92" s="24"/>
      <c r="BGR92" s="24"/>
      <c r="BGS92" s="24"/>
      <c r="BGT92" s="24"/>
      <c r="BGU92" s="24"/>
      <c r="BGV92" s="24"/>
      <c r="BGW92" s="24"/>
      <c r="BGX92" s="24"/>
      <c r="BGY92" s="24"/>
      <c r="BGZ92" s="24"/>
      <c r="BHA92" s="24"/>
      <c r="BHB92" s="24"/>
      <c r="BHC92" s="24"/>
      <c r="BHD92" s="24"/>
      <c r="BHE92" s="24"/>
      <c r="BHF92" s="24"/>
      <c r="BHG92" s="24"/>
      <c r="BHH92" s="24"/>
      <c r="BHI92" s="24"/>
      <c r="BHJ92" s="24"/>
      <c r="BHK92" s="24"/>
      <c r="BHL92" s="24"/>
      <c r="BHM92" s="24"/>
      <c r="BHN92" s="24"/>
      <c r="BHO92" s="24"/>
      <c r="BHP92" s="24"/>
      <c r="BHQ92" s="24"/>
      <c r="BHR92" s="24"/>
      <c r="BHS92" s="24"/>
      <c r="BHT92" s="24"/>
      <c r="BHU92" s="24"/>
      <c r="BHV92" s="24"/>
      <c r="BHW92" s="24"/>
      <c r="BHX92" s="24"/>
      <c r="BHY92" s="24"/>
      <c r="BHZ92" s="24"/>
      <c r="BIA92" s="24"/>
      <c r="BIB92" s="24"/>
      <c r="BIC92" s="24"/>
      <c r="BID92" s="24"/>
      <c r="BIE92" s="24"/>
      <c r="BIF92" s="24"/>
      <c r="BIG92" s="24"/>
      <c r="BIH92" s="24"/>
      <c r="BII92" s="24"/>
      <c r="BIJ92" s="24"/>
      <c r="BIK92" s="24"/>
      <c r="BIL92" s="24"/>
      <c r="BIM92" s="24"/>
      <c r="BIN92" s="24"/>
      <c r="BIO92" s="24"/>
      <c r="BIP92" s="24"/>
      <c r="BIQ92" s="24"/>
      <c r="BIR92" s="24"/>
      <c r="BIS92" s="24"/>
      <c r="BIT92" s="24"/>
      <c r="BIU92" s="24"/>
      <c r="BIV92" s="24"/>
      <c r="BIW92" s="24"/>
      <c r="BIX92" s="24"/>
      <c r="BIY92" s="24"/>
      <c r="BIZ92" s="24"/>
      <c r="BJA92" s="24"/>
      <c r="BJB92" s="24"/>
      <c r="BJC92" s="24"/>
      <c r="BJD92" s="24"/>
      <c r="BJE92" s="24"/>
      <c r="BJF92" s="24"/>
      <c r="BJG92" s="24"/>
      <c r="BJH92" s="24"/>
      <c r="BJI92" s="24"/>
      <c r="BJJ92" s="24"/>
      <c r="BJK92" s="24"/>
      <c r="BJL92" s="24"/>
      <c r="BJM92" s="24"/>
      <c r="BJN92" s="24"/>
      <c r="BJO92" s="24"/>
      <c r="BJP92" s="24"/>
      <c r="BJQ92" s="24"/>
      <c r="BJR92" s="24"/>
      <c r="BJS92" s="24"/>
      <c r="BJT92" s="24"/>
      <c r="BJU92" s="24"/>
      <c r="BJV92" s="24"/>
      <c r="BJW92" s="24"/>
      <c r="BJX92" s="24"/>
      <c r="BJY92" s="24"/>
      <c r="BJZ92" s="24"/>
      <c r="BKA92" s="24"/>
      <c r="BKB92" s="24"/>
      <c r="BKC92" s="24"/>
      <c r="BKD92" s="24"/>
      <c r="BKE92" s="24"/>
      <c r="BKF92" s="24"/>
      <c r="BKG92" s="24"/>
      <c r="BKH92" s="24"/>
      <c r="BKI92" s="24"/>
      <c r="BKJ92" s="24"/>
      <c r="BKK92" s="24"/>
      <c r="BKL92" s="24"/>
      <c r="BKM92" s="24"/>
      <c r="BKN92" s="24"/>
      <c r="BKO92" s="24"/>
      <c r="BKP92" s="24"/>
      <c r="BKQ92" s="24"/>
      <c r="BKR92" s="24"/>
      <c r="BKS92" s="24"/>
      <c r="BKT92" s="24"/>
      <c r="BKU92" s="24"/>
      <c r="BKV92" s="24"/>
      <c r="BKW92" s="24"/>
      <c r="BKX92" s="24"/>
      <c r="BKY92" s="24"/>
      <c r="BKZ92" s="24"/>
      <c r="BLA92" s="24"/>
      <c r="BLB92" s="24"/>
      <c r="BLC92" s="24"/>
      <c r="BLD92" s="24"/>
      <c r="BLE92" s="24"/>
      <c r="BLF92" s="24"/>
      <c r="BLG92" s="24"/>
      <c r="BLH92" s="24"/>
      <c r="BLI92" s="24"/>
      <c r="BLJ92" s="24"/>
      <c r="BLK92" s="24"/>
      <c r="BLL92" s="24"/>
      <c r="BLM92" s="24"/>
      <c r="BLN92" s="24"/>
      <c r="BLO92" s="24"/>
      <c r="BLP92" s="24"/>
      <c r="BLQ92" s="24"/>
      <c r="BLR92" s="24"/>
      <c r="BLS92" s="24"/>
      <c r="BLT92" s="24"/>
      <c r="BLU92" s="24"/>
      <c r="BLV92" s="24"/>
      <c r="BLW92" s="24"/>
      <c r="BLX92" s="24"/>
      <c r="BLY92" s="24"/>
      <c r="BLZ92" s="24"/>
      <c r="BMA92" s="24"/>
      <c r="BMB92" s="24"/>
      <c r="BMC92" s="24"/>
      <c r="BMD92" s="24"/>
      <c r="BME92" s="24"/>
      <c r="BMF92" s="24"/>
      <c r="BMG92" s="24"/>
      <c r="BMH92" s="24"/>
      <c r="BMI92" s="24"/>
      <c r="BMJ92" s="24"/>
      <c r="BMK92" s="24"/>
      <c r="BML92" s="24"/>
      <c r="BMM92" s="24"/>
      <c r="BMN92" s="24"/>
      <c r="BMO92" s="24"/>
      <c r="BMP92" s="24"/>
      <c r="BMQ92" s="24"/>
      <c r="BMR92" s="24"/>
      <c r="BMS92" s="24"/>
      <c r="BMT92" s="24"/>
      <c r="BMU92" s="24"/>
      <c r="BMV92" s="24"/>
      <c r="BMW92" s="24"/>
      <c r="BMX92" s="24"/>
      <c r="BMY92" s="24"/>
      <c r="BMZ92" s="24"/>
      <c r="BNA92" s="24"/>
      <c r="BNB92" s="24"/>
      <c r="BNC92" s="24"/>
      <c r="BND92" s="24"/>
      <c r="BNE92" s="24"/>
      <c r="BNF92" s="24"/>
      <c r="BNG92" s="24"/>
      <c r="BNH92" s="24"/>
      <c r="BNI92" s="24"/>
      <c r="BNJ92" s="24"/>
      <c r="BNK92" s="24"/>
      <c r="BNL92" s="24"/>
      <c r="BNM92" s="24"/>
      <c r="BNN92" s="24"/>
      <c r="BNO92" s="24"/>
      <c r="BNP92" s="24"/>
      <c r="BNQ92" s="24"/>
      <c r="BNR92" s="24"/>
      <c r="BNS92" s="24"/>
      <c r="BNT92" s="24"/>
      <c r="BNU92" s="24"/>
      <c r="BNV92" s="24"/>
      <c r="BNW92" s="24"/>
      <c r="BNX92" s="24"/>
      <c r="BNY92" s="24"/>
      <c r="BNZ92" s="24"/>
      <c r="BOA92" s="24"/>
      <c r="BOB92" s="24"/>
      <c r="BOC92" s="24"/>
      <c r="BOD92" s="24"/>
      <c r="BOE92" s="24"/>
      <c r="BOF92" s="24"/>
      <c r="BOG92" s="24"/>
      <c r="BOH92" s="24"/>
      <c r="BOI92" s="24"/>
      <c r="BOJ92" s="24"/>
      <c r="BOK92" s="24"/>
      <c r="BOL92" s="24"/>
      <c r="BOM92" s="24"/>
      <c r="BON92" s="24"/>
      <c r="BOO92" s="24"/>
      <c r="BOP92" s="24"/>
      <c r="BOQ92" s="24"/>
      <c r="BOR92" s="24"/>
      <c r="BOS92" s="24"/>
      <c r="BOT92" s="24"/>
      <c r="BOU92" s="24"/>
      <c r="BOV92" s="24"/>
      <c r="BOW92" s="24"/>
      <c r="BOX92" s="24"/>
      <c r="BOY92" s="24"/>
      <c r="BOZ92" s="24"/>
      <c r="BPA92" s="24"/>
      <c r="BPB92" s="24"/>
      <c r="BPC92" s="24"/>
      <c r="BPD92" s="24"/>
      <c r="BPE92" s="24"/>
      <c r="BPF92" s="24"/>
      <c r="BPG92" s="24"/>
      <c r="BPH92" s="24"/>
      <c r="BPI92" s="24"/>
      <c r="BPJ92" s="24"/>
      <c r="BPK92" s="24"/>
      <c r="BPL92" s="24"/>
      <c r="BPM92" s="24"/>
      <c r="BPN92" s="24"/>
      <c r="BPO92" s="24"/>
      <c r="BPP92" s="24"/>
      <c r="BPQ92" s="24"/>
      <c r="BPR92" s="24"/>
      <c r="BPS92" s="24"/>
      <c r="BPT92" s="24"/>
      <c r="BPU92" s="24"/>
      <c r="BPV92" s="24"/>
      <c r="BPW92" s="24"/>
      <c r="BPX92" s="24"/>
      <c r="BPY92" s="24"/>
      <c r="BPZ92" s="24"/>
      <c r="BQA92" s="24"/>
      <c r="BQB92" s="24"/>
      <c r="BQC92" s="24"/>
      <c r="BQD92" s="24"/>
      <c r="BQE92" s="24"/>
      <c r="BQF92" s="24"/>
      <c r="BQG92" s="24"/>
      <c r="BQH92" s="24"/>
      <c r="BQI92" s="24"/>
      <c r="BQJ92" s="24"/>
      <c r="BQK92" s="24"/>
      <c r="BQL92" s="24"/>
      <c r="BQM92" s="24"/>
      <c r="BQN92" s="24"/>
      <c r="BQO92" s="24"/>
      <c r="BQP92" s="24"/>
      <c r="BQQ92" s="24"/>
      <c r="BQR92" s="24"/>
      <c r="BQS92" s="24"/>
      <c r="BQT92" s="24"/>
      <c r="BQU92" s="24"/>
      <c r="BQV92" s="24"/>
      <c r="BQW92" s="24"/>
      <c r="BQX92" s="24"/>
      <c r="BQY92" s="24"/>
      <c r="BQZ92" s="24"/>
      <c r="BRA92" s="24"/>
      <c r="BRB92" s="24"/>
      <c r="BRC92" s="24"/>
      <c r="BRD92" s="24"/>
      <c r="BRE92" s="24"/>
      <c r="BRF92" s="24"/>
      <c r="BRG92" s="24"/>
      <c r="BRH92" s="24"/>
      <c r="BRI92" s="24"/>
      <c r="BRJ92" s="24"/>
      <c r="BRK92" s="24"/>
      <c r="BRL92" s="24"/>
      <c r="BRM92" s="24"/>
      <c r="BRN92" s="24"/>
      <c r="BRO92" s="24"/>
      <c r="BRP92" s="24"/>
      <c r="BRQ92" s="24"/>
      <c r="BRR92" s="24"/>
      <c r="BRS92" s="24"/>
      <c r="BRT92" s="24"/>
      <c r="BRU92" s="24"/>
      <c r="BRV92" s="24"/>
      <c r="BRW92" s="24"/>
      <c r="BRX92" s="24"/>
      <c r="BRY92" s="24"/>
      <c r="BRZ92" s="24"/>
      <c r="BSA92" s="24"/>
      <c r="BSB92" s="24"/>
      <c r="BSC92" s="24"/>
      <c r="BSD92" s="24"/>
      <c r="BSE92" s="24"/>
      <c r="BSF92" s="24"/>
      <c r="BSG92" s="24"/>
      <c r="BSH92" s="24"/>
      <c r="BSI92" s="24"/>
      <c r="BSJ92" s="24"/>
      <c r="BSK92" s="24"/>
      <c r="BSL92" s="24"/>
      <c r="BSM92" s="24"/>
      <c r="BSN92" s="24"/>
      <c r="BSO92" s="24"/>
      <c r="BSP92" s="24"/>
      <c r="BSQ92" s="24"/>
      <c r="BSR92" s="24"/>
      <c r="BSS92" s="24"/>
      <c r="BST92" s="24"/>
      <c r="BSU92" s="24"/>
      <c r="BSV92" s="24"/>
      <c r="BSW92" s="24"/>
      <c r="BSX92" s="24"/>
      <c r="BSY92" s="24"/>
      <c r="BSZ92" s="24"/>
      <c r="BTA92" s="24"/>
      <c r="BTB92" s="24"/>
      <c r="BTC92" s="24"/>
      <c r="BTD92" s="24"/>
      <c r="BTE92" s="24"/>
      <c r="BTF92" s="24"/>
      <c r="BTG92" s="24"/>
      <c r="BTH92" s="24"/>
      <c r="BTI92" s="24"/>
      <c r="BTJ92" s="24"/>
      <c r="BTK92" s="24"/>
      <c r="BTL92" s="24"/>
      <c r="BTM92" s="24"/>
      <c r="BTN92" s="24"/>
      <c r="BTO92" s="24"/>
      <c r="BTP92" s="24"/>
      <c r="BTQ92" s="24"/>
      <c r="BTR92" s="24"/>
      <c r="BTS92" s="24"/>
      <c r="BTT92" s="24"/>
      <c r="BTU92" s="24"/>
      <c r="BTV92" s="24"/>
      <c r="BTW92" s="24"/>
      <c r="BTX92" s="24"/>
      <c r="BTY92" s="24"/>
      <c r="BTZ92" s="24"/>
      <c r="BUA92" s="24"/>
      <c r="BUB92" s="24"/>
      <c r="BUC92" s="24"/>
      <c r="BUD92" s="24"/>
      <c r="BUE92" s="24"/>
      <c r="BUF92" s="24"/>
      <c r="BUG92" s="24"/>
      <c r="BUH92" s="24"/>
      <c r="BUI92" s="24"/>
      <c r="BUJ92" s="24"/>
      <c r="BUK92" s="24"/>
      <c r="BUL92" s="24"/>
      <c r="BUM92" s="24"/>
      <c r="BUN92" s="24"/>
      <c r="BUO92" s="24"/>
      <c r="BUP92" s="24"/>
      <c r="BUQ92" s="24"/>
      <c r="BUR92" s="24"/>
      <c r="BUS92" s="24"/>
      <c r="BUT92" s="24"/>
      <c r="BUU92" s="24"/>
      <c r="BUV92" s="24"/>
      <c r="BUW92" s="24"/>
      <c r="BUX92" s="24"/>
      <c r="BUY92" s="24"/>
      <c r="BUZ92" s="24"/>
      <c r="BVA92" s="24"/>
      <c r="BVB92" s="24"/>
      <c r="BVC92" s="24"/>
      <c r="BVD92" s="24"/>
      <c r="BVE92" s="24"/>
      <c r="BVF92" s="24"/>
      <c r="BVG92" s="24"/>
      <c r="BVH92" s="24"/>
      <c r="BVI92" s="24"/>
      <c r="BVJ92" s="24"/>
      <c r="BVK92" s="24"/>
      <c r="BVL92" s="24"/>
      <c r="BVM92" s="24"/>
      <c r="BVN92" s="24"/>
      <c r="BVO92" s="24"/>
      <c r="BVP92" s="24"/>
      <c r="BVQ92" s="24"/>
      <c r="BVR92" s="24"/>
      <c r="BVS92" s="24"/>
      <c r="BVT92" s="24"/>
      <c r="BVU92" s="24"/>
      <c r="BVV92" s="24"/>
      <c r="BVW92" s="24"/>
      <c r="BVX92" s="24"/>
      <c r="BVY92" s="24"/>
      <c r="BVZ92" s="24"/>
      <c r="BWA92" s="24"/>
      <c r="BWB92" s="24"/>
      <c r="BWC92" s="24"/>
      <c r="BWD92" s="24"/>
      <c r="BWE92" s="24"/>
      <c r="BWF92" s="24"/>
      <c r="BWG92" s="24"/>
      <c r="BWH92" s="24"/>
      <c r="BWI92" s="24"/>
      <c r="BWJ92" s="24"/>
      <c r="BWK92" s="24"/>
      <c r="BWL92" s="24"/>
      <c r="BWM92" s="24"/>
      <c r="BWN92" s="24"/>
      <c r="BWO92" s="24"/>
      <c r="BWP92" s="24"/>
      <c r="BWQ92" s="24"/>
      <c r="BWR92" s="24"/>
      <c r="BWS92" s="24"/>
      <c r="BWT92" s="24"/>
      <c r="BWU92" s="24"/>
      <c r="BWV92" s="24"/>
      <c r="BWW92" s="24"/>
      <c r="BWX92" s="24"/>
      <c r="BWY92" s="24"/>
      <c r="BWZ92" s="24"/>
      <c r="BXA92" s="24"/>
      <c r="BXB92" s="24"/>
      <c r="BXC92" s="24"/>
      <c r="BXD92" s="24"/>
      <c r="BXE92" s="24"/>
      <c r="BXF92" s="24"/>
      <c r="BXG92" s="24"/>
      <c r="BXH92" s="24"/>
      <c r="BXI92" s="24"/>
      <c r="BXJ92" s="24"/>
      <c r="BXK92" s="24"/>
      <c r="BXL92" s="24"/>
      <c r="BXM92" s="24"/>
      <c r="BXN92" s="24"/>
      <c r="BXO92" s="24"/>
      <c r="BXP92" s="24"/>
      <c r="BXQ92" s="24"/>
      <c r="BXR92" s="24"/>
      <c r="BXS92" s="24"/>
      <c r="BXT92" s="24"/>
      <c r="BXU92" s="24"/>
      <c r="BXV92" s="24"/>
      <c r="BXW92" s="24"/>
      <c r="BXX92" s="24"/>
      <c r="BXY92" s="24"/>
      <c r="BXZ92" s="24"/>
      <c r="BYA92" s="24"/>
      <c r="BYB92" s="24"/>
      <c r="BYC92" s="24"/>
      <c r="BYD92" s="24"/>
      <c r="BYE92" s="24"/>
      <c r="BYF92" s="24"/>
      <c r="BYG92" s="24"/>
      <c r="BYH92" s="24"/>
      <c r="BYI92" s="24"/>
      <c r="BYJ92" s="24"/>
      <c r="BYK92" s="24"/>
      <c r="BYL92" s="24"/>
      <c r="BYM92" s="24"/>
      <c r="BYN92" s="24"/>
      <c r="BYO92" s="24"/>
      <c r="BYP92" s="24"/>
      <c r="BYQ92" s="24"/>
      <c r="BYR92" s="24"/>
      <c r="BYS92" s="24"/>
      <c r="BYT92" s="24"/>
      <c r="BYU92" s="24"/>
      <c r="BYV92" s="24"/>
      <c r="BYW92" s="24"/>
      <c r="BYX92" s="24"/>
      <c r="BYY92" s="24"/>
      <c r="BYZ92" s="24"/>
      <c r="BZA92" s="24"/>
      <c r="BZB92" s="24"/>
      <c r="BZC92" s="24"/>
      <c r="BZD92" s="24"/>
      <c r="BZE92" s="24"/>
      <c r="BZF92" s="24"/>
      <c r="BZG92" s="24"/>
      <c r="BZH92" s="24"/>
      <c r="BZI92" s="24"/>
      <c r="BZJ92" s="24"/>
      <c r="BZK92" s="24"/>
      <c r="BZL92" s="24"/>
      <c r="BZM92" s="24"/>
      <c r="BZN92" s="24"/>
      <c r="BZO92" s="24"/>
      <c r="BZP92" s="24"/>
      <c r="BZQ92" s="24"/>
      <c r="BZR92" s="24"/>
      <c r="BZS92" s="24"/>
      <c r="BZT92" s="24"/>
      <c r="BZU92" s="24"/>
      <c r="BZV92" s="24"/>
      <c r="BZW92" s="24"/>
      <c r="BZX92" s="24"/>
      <c r="BZY92" s="24"/>
      <c r="BZZ92" s="24"/>
      <c r="CAA92" s="24"/>
      <c r="CAB92" s="24"/>
      <c r="CAC92" s="24"/>
      <c r="CAD92" s="24"/>
      <c r="CAE92" s="24"/>
      <c r="CAF92" s="24"/>
      <c r="CAG92" s="24"/>
      <c r="CAH92" s="24"/>
      <c r="CAI92" s="24"/>
      <c r="CAJ92" s="24"/>
      <c r="CAK92" s="24"/>
      <c r="CAL92" s="24"/>
      <c r="CAM92" s="24"/>
      <c r="CAN92" s="24"/>
      <c r="CAO92" s="24"/>
      <c r="CAP92" s="24"/>
      <c r="CAQ92" s="24"/>
      <c r="CAR92" s="24"/>
      <c r="CAS92" s="24"/>
      <c r="CAT92" s="24"/>
      <c r="CAU92" s="24"/>
      <c r="CAV92" s="24"/>
      <c r="CAW92" s="24"/>
      <c r="CAX92" s="24"/>
      <c r="CAY92" s="24"/>
      <c r="CAZ92" s="24"/>
      <c r="CBA92" s="24"/>
      <c r="CBB92" s="24"/>
      <c r="CBC92" s="24"/>
      <c r="CBD92" s="24"/>
      <c r="CBE92" s="24"/>
      <c r="CBF92" s="24"/>
      <c r="CBG92" s="24"/>
      <c r="CBH92" s="24"/>
      <c r="CBI92" s="24"/>
      <c r="CBJ92" s="24"/>
      <c r="CBK92" s="24"/>
      <c r="CBL92" s="24"/>
      <c r="CBM92" s="24"/>
      <c r="CBN92" s="24"/>
      <c r="CBO92" s="24"/>
      <c r="CBP92" s="24"/>
      <c r="CBQ92" s="24"/>
      <c r="CBR92" s="24"/>
      <c r="CBS92" s="24"/>
      <c r="CBT92" s="24"/>
      <c r="CBU92" s="24"/>
      <c r="CBV92" s="24"/>
      <c r="CBW92" s="24"/>
      <c r="CBX92" s="24"/>
      <c r="CBY92" s="24"/>
      <c r="CBZ92" s="24"/>
      <c r="CCA92" s="24"/>
      <c r="CCB92" s="24"/>
      <c r="CCC92" s="24"/>
      <c r="CCD92" s="24"/>
      <c r="CCE92" s="24"/>
      <c r="CCF92" s="24"/>
      <c r="CCG92" s="24"/>
      <c r="CCH92" s="24"/>
      <c r="CCI92" s="24"/>
      <c r="CCJ92" s="24"/>
      <c r="CCK92" s="24"/>
      <c r="CCL92" s="24"/>
      <c r="CCM92" s="24"/>
      <c r="CCN92" s="24"/>
      <c r="CCO92" s="24"/>
      <c r="CCP92" s="24"/>
      <c r="CCQ92" s="24"/>
      <c r="CCR92" s="24"/>
      <c r="CCS92" s="24"/>
      <c r="CCT92" s="24"/>
      <c r="CCU92" s="24"/>
      <c r="CCV92" s="24"/>
      <c r="CCW92" s="24"/>
      <c r="CCX92" s="24"/>
      <c r="CCY92" s="24"/>
      <c r="CCZ92" s="24"/>
      <c r="CDA92" s="24"/>
      <c r="CDB92" s="24"/>
      <c r="CDC92" s="24"/>
      <c r="CDD92" s="24"/>
      <c r="CDE92" s="24"/>
      <c r="CDF92" s="24"/>
      <c r="CDG92" s="24"/>
      <c r="CDH92" s="24"/>
      <c r="CDI92" s="24"/>
      <c r="CDJ92" s="24"/>
      <c r="CDK92" s="24"/>
      <c r="CDL92" s="24"/>
      <c r="CDM92" s="24"/>
      <c r="CDN92" s="24"/>
      <c r="CDO92" s="24"/>
      <c r="CDP92" s="24"/>
      <c r="CDQ92" s="24"/>
      <c r="CDR92" s="24"/>
      <c r="CDS92" s="24"/>
      <c r="CDT92" s="24"/>
      <c r="CDU92" s="24"/>
      <c r="CDV92" s="24"/>
      <c r="CDW92" s="24"/>
      <c r="CDX92" s="24"/>
      <c r="CDY92" s="24"/>
      <c r="CDZ92" s="24"/>
      <c r="CEA92" s="24"/>
      <c r="CEB92" s="24"/>
      <c r="CEC92" s="24"/>
      <c r="CED92" s="24"/>
      <c r="CEE92" s="24"/>
      <c r="CEF92" s="24"/>
      <c r="CEG92" s="24"/>
      <c r="CEH92" s="24"/>
      <c r="CEI92" s="24"/>
      <c r="CEJ92" s="24"/>
      <c r="CEK92" s="24"/>
      <c r="CEL92" s="24"/>
      <c r="CEM92" s="24"/>
      <c r="CEN92" s="24"/>
      <c r="CEO92" s="24"/>
      <c r="CEP92" s="24"/>
      <c r="CEQ92" s="24"/>
      <c r="CER92" s="24"/>
      <c r="CES92" s="24"/>
      <c r="CET92" s="24"/>
      <c r="CEU92" s="24"/>
      <c r="CEV92" s="24"/>
      <c r="CEW92" s="24"/>
      <c r="CEX92" s="24"/>
      <c r="CEY92" s="24"/>
      <c r="CEZ92" s="24"/>
      <c r="CFA92" s="24"/>
      <c r="CFB92" s="24"/>
      <c r="CFC92" s="24"/>
      <c r="CFD92" s="24"/>
      <c r="CFE92" s="24"/>
      <c r="CFF92" s="24"/>
      <c r="CFG92" s="24"/>
      <c r="CFH92" s="24"/>
      <c r="CFI92" s="24"/>
      <c r="CFJ92" s="24"/>
      <c r="CFK92" s="24"/>
      <c r="CFL92" s="24"/>
      <c r="CFM92" s="24"/>
      <c r="CFN92" s="24"/>
      <c r="CFO92" s="24"/>
      <c r="CFP92" s="24"/>
      <c r="CFQ92" s="24"/>
      <c r="CFR92" s="24"/>
      <c r="CFS92" s="24"/>
      <c r="CFT92" s="24"/>
      <c r="CFU92" s="24"/>
      <c r="CFV92" s="24"/>
      <c r="CFW92" s="24"/>
      <c r="CFX92" s="24"/>
      <c r="CFY92" s="24"/>
      <c r="CFZ92" s="24"/>
      <c r="CGA92" s="24"/>
      <c r="CGB92" s="24"/>
      <c r="CGC92" s="24"/>
      <c r="CGD92" s="24"/>
      <c r="CGE92" s="24"/>
      <c r="CGF92" s="24"/>
      <c r="CGG92" s="24"/>
      <c r="CGH92" s="24"/>
      <c r="CGI92" s="24"/>
      <c r="CGJ92" s="24"/>
      <c r="CGK92" s="24"/>
      <c r="CGL92" s="24"/>
      <c r="CGM92" s="24"/>
      <c r="CGN92" s="24"/>
      <c r="CGO92" s="24"/>
      <c r="CGP92" s="24"/>
      <c r="CGQ92" s="24"/>
      <c r="CGR92" s="24"/>
      <c r="CGS92" s="24"/>
      <c r="CGT92" s="24"/>
      <c r="CGU92" s="24"/>
      <c r="CGV92" s="24"/>
      <c r="CGW92" s="24"/>
      <c r="CGX92" s="24"/>
      <c r="CGY92" s="24"/>
      <c r="CGZ92" s="24"/>
      <c r="CHA92" s="24"/>
      <c r="CHB92" s="24"/>
      <c r="CHC92" s="24"/>
      <c r="CHD92" s="24"/>
      <c r="CHE92" s="24"/>
      <c r="CHF92" s="24"/>
      <c r="CHG92" s="24"/>
      <c r="CHH92" s="24"/>
      <c r="CHI92" s="24"/>
      <c r="CHJ92" s="24"/>
      <c r="CHK92" s="24"/>
      <c r="CHL92" s="24"/>
      <c r="CHM92" s="24"/>
      <c r="CHN92" s="24"/>
      <c r="CHO92" s="24"/>
      <c r="CHP92" s="24"/>
      <c r="CHQ92" s="24"/>
      <c r="CHR92" s="24"/>
      <c r="CHS92" s="24"/>
      <c r="CHT92" s="24"/>
      <c r="CHU92" s="24"/>
      <c r="CHV92" s="24"/>
      <c r="CHW92" s="24"/>
      <c r="CHX92" s="24"/>
      <c r="CHY92" s="24"/>
      <c r="CHZ92" s="24"/>
      <c r="CIA92" s="24"/>
      <c r="CIB92" s="24"/>
      <c r="CIC92" s="24"/>
      <c r="CID92" s="24"/>
      <c r="CIE92" s="24"/>
      <c r="CIF92" s="24"/>
      <c r="CIG92" s="24"/>
      <c r="CIH92" s="24"/>
      <c r="CII92" s="24"/>
      <c r="CIJ92" s="24"/>
      <c r="CIK92" s="24"/>
      <c r="CIL92" s="24"/>
      <c r="CIM92" s="24"/>
      <c r="CIN92" s="24"/>
      <c r="CIO92" s="24"/>
      <c r="CIP92" s="24"/>
      <c r="CIQ92" s="24"/>
      <c r="CIR92" s="24"/>
      <c r="CIS92" s="24"/>
      <c r="CIT92" s="24"/>
      <c r="CIU92" s="24"/>
      <c r="CIV92" s="24"/>
      <c r="CIW92" s="24"/>
      <c r="CIX92" s="24"/>
      <c r="CIY92" s="24"/>
      <c r="CIZ92" s="24"/>
      <c r="CJA92" s="24"/>
      <c r="CJB92" s="24"/>
      <c r="CJC92" s="24"/>
      <c r="CJD92" s="24"/>
      <c r="CJE92" s="24"/>
      <c r="CJF92" s="24"/>
      <c r="CJG92" s="24"/>
      <c r="CJH92" s="24"/>
      <c r="CJI92" s="24"/>
      <c r="CJJ92" s="24"/>
      <c r="CJK92" s="24"/>
      <c r="CJL92" s="24"/>
      <c r="CJM92" s="24"/>
      <c r="CJN92" s="24"/>
      <c r="CJO92" s="24"/>
      <c r="CJP92" s="24"/>
      <c r="CJQ92" s="24"/>
      <c r="CJR92" s="24"/>
      <c r="CJS92" s="24"/>
      <c r="CJT92" s="24"/>
      <c r="CJU92" s="24"/>
      <c r="CJV92" s="24"/>
      <c r="CJW92" s="24"/>
      <c r="CJX92" s="24"/>
      <c r="CJY92" s="24"/>
      <c r="CJZ92" s="24"/>
      <c r="CKA92" s="24"/>
      <c r="CKB92" s="24"/>
      <c r="CKC92" s="24"/>
      <c r="CKD92" s="24"/>
      <c r="CKE92" s="24"/>
      <c r="CKF92" s="24"/>
      <c r="CKG92" s="24"/>
      <c r="CKH92" s="24"/>
      <c r="CKI92" s="24"/>
      <c r="CKJ92" s="24"/>
      <c r="CKK92" s="24"/>
      <c r="CKL92" s="24"/>
      <c r="CKM92" s="24"/>
      <c r="CKN92" s="24"/>
      <c r="CKO92" s="24"/>
      <c r="CKP92" s="24"/>
      <c r="CKQ92" s="24"/>
      <c r="CKR92" s="24"/>
      <c r="CKS92" s="24"/>
      <c r="CKT92" s="24"/>
      <c r="CKU92" s="24"/>
      <c r="CKV92" s="24"/>
      <c r="CKW92" s="24"/>
      <c r="CKX92" s="24"/>
      <c r="CKY92" s="24"/>
      <c r="CKZ92" s="24"/>
      <c r="CLA92" s="24"/>
      <c r="CLB92" s="24"/>
      <c r="CLC92" s="24"/>
      <c r="CLD92" s="24"/>
      <c r="CLE92" s="24"/>
      <c r="CLF92" s="24"/>
      <c r="CLG92" s="24"/>
      <c r="CLH92" s="24"/>
      <c r="CLI92" s="24"/>
      <c r="CLJ92" s="24"/>
      <c r="CLK92" s="24"/>
      <c r="CLL92" s="24"/>
      <c r="CLM92" s="24"/>
      <c r="CLN92" s="24"/>
      <c r="CLO92" s="24"/>
      <c r="CLP92" s="24"/>
      <c r="CLQ92" s="24"/>
      <c r="CLR92" s="24"/>
      <c r="CLS92" s="24"/>
      <c r="CLT92" s="24"/>
      <c r="CLU92" s="24"/>
      <c r="CLV92" s="24"/>
      <c r="CLW92" s="24"/>
      <c r="CLX92" s="24"/>
      <c r="CLY92" s="24"/>
      <c r="CLZ92" s="24"/>
      <c r="CMA92" s="24"/>
      <c r="CMB92" s="24"/>
      <c r="CMC92" s="24"/>
      <c r="CMD92" s="24"/>
      <c r="CME92" s="24"/>
      <c r="CMF92" s="24"/>
      <c r="CMG92" s="24"/>
      <c r="CMH92" s="24"/>
      <c r="CMI92" s="24"/>
      <c r="CMJ92" s="24"/>
      <c r="CMK92" s="24"/>
      <c r="CML92" s="24"/>
      <c r="CMM92" s="24"/>
      <c r="CMN92" s="24"/>
      <c r="CMO92" s="24"/>
      <c r="CMP92" s="24"/>
      <c r="CMQ92" s="24"/>
      <c r="CMR92" s="24"/>
      <c r="CMS92" s="24"/>
      <c r="CMT92" s="24"/>
      <c r="CMU92" s="24"/>
      <c r="CMV92" s="24"/>
      <c r="CMW92" s="24"/>
      <c r="CMX92" s="24"/>
      <c r="CMY92" s="24"/>
      <c r="CMZ92" s="24"/>
      <c r="CNA92" s="24"/>
      <c r="CNB92" s="24"/>
      <c r="CNC92" s="24"/>
      <c r="CND92" s="24"/>
      <c r="CNE92" s="24"/>
      <c r="CNF92" s="24"/>
      <c r="CNG92" s="24"/>
      <c r="CNH92" s="24"/>
      <c r="CNI92" s="24"/>
      <c r="CNJ92" s="24"/>
      <c r="CNK92" s="24"/>
      <c r="CNL92" s="24"/>
      <c r="CNM92" s="24"/>
      <c r="CNN92" s="24"/>
      <c r="CNO92" s="24"/>
      <c r="CNP92" s="24"/>
      <c r="CNQ92" s="24"/>
      <c r="CNR92" s="24"/>
      <c r="CNS92" s="24"/>
      <c r="CNT92" s="24"/>
      <c r="CNU92" s="24"/>
      <c r="CNV92" s="24"/>
      <c r="CNW92" s="24"/>
      <c r="CNX92" s="24"/>
      <c r="CNY92" s="24"/>
      <c r="CNZ92" s="24"/>
      <c r="COA92" s="24"/>
      <c r="COB92" s="24"/>
      <c r="COC92" s="24"/>
      <c r="COD92" s="24"/>
      <c r="COE92" s="24"/>
      <c r="COF92" s="24"/>
      <c r="COG92" s="24"/>
      <c r="COH92" s="24"/>
      <c r="COI92" s="24"/>
      <c r="COJ92" s="24"/>
      <c r="COK92" s="24"/>
      <c r="COL92" s="24"/>
      <c r="COM92" s="24"/>
      <c r="CON92" s="24"/>
      <c r="COO92" s="24"/>
      <c r="COP92" s="24"/>
      <c r="COQ92" s="24"/>
      <c r="COR92" s="24"/>
      <c r="COS92" s="24"/>
      <c r="COT92" s="24"/>
      <c r="COU92" s="24"/>
      <c r="COV92" s="24"/>
      <c r="COW92" s="24"/>
      <c r="COX92" s="24"/>
      <c r="COY92" s="24"/>
      <c r="COZ92" s="24"/>
      <c r="CPA92" s="24"/>
      <c r="CPB92" s="24"/>
      <c r="CPC92" s="24"/>
      <c r="CPD92" s="24"/>
      <c r="CPE92" s="24"/>
      <c r="CPF92" s="24"/>
      <c r="CPG92" s="24"/>
      <c r="CPH92" s="24"/>
      <c r="CPI92" s="24"/>
      <c r="CPJ92" s="24"/>
      <c r="CPK92" s="24"/>
      <c r="CPL92" s="24"/>
      <c r="CPM92" s="24"/>
      <c r="CPN92" s="24"/>
      <c r="CPO92" s="24"/>
      <c r="CPP92" s="24"/>
      <c r="CPQ92" s="24"/>
      <c r="CPR92" s="24"/>
      <c r="CPS92" s="24"/>
      <c r="CPT92" s="24"/>
      <c r="CPU92" s="24"/>
      <c r="CPV92" s="24"/>
      <c r="CPW92" s="24"/>
      <c r="CPX92" s="24"/>
      <c r="CPY92" s="24"/>
      <c r="CPZ92" s="24"/>
      <c r="CQA92" s="24"/>
      <c r="CQB92" s="24"/>
      <c r="CQC92" s="24"/>
      <c r="CQD92" s="24"/>
      <c r="CQE92" s="24"/>
      <c r="CQF92" s="24"/>
      <c r="CQG92" s="24"/>
      <c r="CQH92" s="24"/>
      <c r="CQI92" s="24"/>
      <c r="CQJ92" s="24"/>
      <c r="CQK92" s="24"/>
      <c r="CQL92" s="24"/>
      <c r="CQM92" s="24"/>
      <c r="CQN92" s="24"/>
      <c r="CQO92" s="24"/>
      <c r="CQP92" s="24"/>
      <c r="CQQ92" s="24"/>
      <c r="CQR92" s="24"/>
      <c r="CQS92" s="24"/>
      <c r="CQT92" s="24"/>
      <c r="CQU92" s="24"/>
      <c r="CQV92" s="24"/>
      <c r="CQW92" s="24"/>
      <c r="CQX92" s="24"/>
      <c r="CQY92" s="24"/>
      <c r="CQZ92" s="24"/>
      <c r="CRA92" s="24"/>
      <c r="CRB92" s="24"/>
      <c r="CRC92" s="24"/>
      <c r="CRD92" s="24"/>
      <c r="CRE92" s="24"/>
      <c r="CRF92" s="24"/>
      <c r="CRG92" s="24"/>
      <c r="CRH92" s="24"/>
      <c r="CRI92" s="24"/>
      <c r="CRJ92" s="24"/>
      <c r="CRK92" s="24"/>
      <c r="CRL92" s="24"/>
      <c r="CRM92" s="24"/>
      <c r="CRN92" s="24"/>
      <c r="CRO92" s="24"/>
      <c r="CRP92" s="24"/>
      <c r="CRQ92" s="24"/>
      <c r="CRR92" s="24"/>
      <c r="CRS92" s="24"/>
      <c r="CRT92" s="24"/>
      <c r="CRU92" s="24"/>
      <c r="CRV92" s="24"/>
      <c r="CRW92" s="24"/>
      <c r="CRX92" s="24"/>
      <c r="CRY92" s="24"/>
      <c r="CRZ92" s="24"/>
      <c r="CSA92" s="24"/>
      <c r="CSB92" s="24"/>
      <c r="CSC92" s="24"/>
      <c r="CSD92" s="24"/>
      <c r="CSE92" s="24"/>
      <c r="CSF92" s="24"/>
      <c r="CSG92" s="24"/>
      <c r="CSH92" s="24"/>
      <c r="CSI92" s="24"/>
      <c r="CSJ92" s="24"/>
      <c r="CSK92" s="24"/>
      <c r="CSL92" s="24"/>
      <c r="CSM92" s="24"/>
      <c r="CSN92" s="24"/>
      <c r="CSO92" s="24"/>
      <c r="CSP92" s="24"/>
      <c r="CSQ92" s="24"/>
      <c r="CSR92" s="24"/>
      <c r="CSS92" s="24"/>
      <c r="CST92" s="24"/>
      <c r="CSU92" s="24"/>
      <c r="CSV92" s="24"/>
      <c r="CSW92" s="24"/>
      <c r="CSX92" s="24"/>
      <c r="CSY92" s="24"/>
      <c r="CSZ92" s="24"/>
      <c r="CTA92" s="24"/>
      <c r="CTB92" s="24"/>
      <c r="CTC92" s="24"/>
      <c r="CTD92" s="24"/>
      <c r="CTE92" s="24"/>
      <c r="CTF92" s="24"/>
      <c r="CTG92" s="24"/>
      <c r="CTH92" s="24"/>
      <c r="CTI92" s="24"/>
      <c r="CTJ92" s="24"/>
      <c r="CTK92" s="24"/>
      <c r="CTL92" s="24"/>
      <c r="CTM92" s="24"/>
      <c r="CTN92" s="24"/>
      <c r="CTO92" s="24"/>
      <c r="CTP92" s="24"/>
      <c r="CTQ92" s="24"/>
      <c r="CTR92" s="24"/>
      <c r="CTS92" s="24"/>
      <c r="CTT92" s="24"/>
      <c r="CTU92" s="24"/>
      <c r="CTV92" s="24"/>
      <c r="CTW92" s="24"/>
      <c r="CTX92" s="24"/>
      <c r="CTY92" s="24"/>
      <c r="CTZ92" s="24"/>
      <c r="CUA92" s="24"/>
      <c r="CUB92" s="24"/>
      <c r="CUC92" s="24"/>
      <c r="CUD92" s="24"/>
      <c r="CUE92" s="24"/>
      <c r="CUF92" s="24"/>
      <c r="CUG92" s="24"/>
      <c r="CUH92" s="24"/>
      <c r="CUI92" s="24"/>
      <c r="CUJ92" s="24"/>
      <c r="CUK92" s="24"/>
      <c r="CUL92" s="24"/>
      <c r="CUM92" s="24"/>
      <c r="CUN92" s="24"/>
      <c r="CUO92" s="24"/>
      <c r="CUP92" s="24"/>
      <c r="CUQ92" s="24"/>
      <c r="CUR92" s="24"/>
      <c r="CUS92" s="24"/>
      <c r="CUT92" s="24"/>
      <c r="CUU92" s="24"/>
      <c r="CUV92" s="24"/>
      <c r="CUW92" s="24"/>
      <c r="CUX92" s="24"/>
      <c r="CUY92" s="24"/>
      <c r="CUZ92" s="24"/>
      <c r="CVA92" s="24"/>
      <c r="CVB92" s="24"/>
      <c r="CVC92" s="24"/>
      <c r="CVD92" s="24"/>
      <c r="CVE92" s="24"/>
      <c r="CVF92" s="24"/>
      <c r="CVG92" s="24"/>
      <c r="CVH92" s="24"/>
      <c r="CVI92" s="24"/>
      <c r="CVJ92" s="24"/>
      <c r="CVK92" s="24"/>
      <c r="CVL92" s="24"/>
      <c r="CVM92" s="24"/>
      <c r="CVN92" s="24"/>
      <c r="CVO92" s="24"/>
      <c r="CVP92" s="24"/>
      <c r="CVQ92" s="24"/>
      <c r="CVR92" s="24"/>
      <c r="CVS92" s="24"/>
      <c r="CVT92" s="24"/>
      <c r="CVU92" s="24"/>
      <c r="CVV92" s="24"/>
      <c r="CVW92" s="24"/>
      <c r="CVX92" s="24"/>
      <c r="CVY92" s="24"/>
      <c r="CVZ92" s="24"/>
      <c r="CWA92" s="24"/>
      <c r="CWB92" s="24"/>
      <c r="CWC92" s="24"/>
      <c r="CWD92" s="24"/>
      <c r="CWE92" s="24"/>
      <c r="CWF92" s="24"/>
      <c r="CWG92" s="24"/>
      <c r="CWH92" s="24"/>
      <c r="CWI92" s="24"/>
      <c r="CWJ92" s="24"/>
      <c r="CWK92" s="24"/>
      <c r="CWL92" s="24"/>
      <c r="CWM92" s="24"/>
      <c r="CWN92" s="24"/>
      <c r="CWO92" s="24"/>
      <c r="CWP92" s="24"/>
      <c r="CWQ92" s="24"/>
      <c r="CWR92" s="24"/>
      <c r="CWS92" s="24"/>
      <c r="CWT92" s="24"/>
      <c r="CWU92" s="24"/>
      <c r="CWV92" s="24"/>
      <c r="CWW92" s="24"/>
      <c r="CWX92" s="24"/>
      <c r="CWY92" s="24"/>
      <c r="CWZ92" s="24"/>
      <c r="CXA92" s="24"/>
      <c r="CXB92" s="24"/>
      <c r="CXC92" s="24"/>
      <c r="CXD92" s="24"/>
      <c r="CXE92" s="24"/>
      <c r="CXF92" s="24"/>
      <c r="CXG92" s="24"/>
      <c r="CXH92" s="24"/>
      <c r="CXI92" s="24"/>
      <c r="CXJ92" s="24"/>
      <c r="CXK92" s="24"/>
      <c r="CXL92" s="24"/>
      <c r="CXM92" s="24"/>
      <c r="CXN92" s="24"/>
      <c r="CXO92" s="24"/>
      <c r="CXP92" s="24"/>
      <c r="CXQ92" s="24"/>
      <c r="CXR92" s="24"/>
      <c r="CXS92" s="24"/>
      <c r="CXT92" s="24"/>
      <c r="CXU92" s="24"/>
      <c r="CXV92" s="24"/>
      <c r="CXW92" s="24"/>
      <c r="CXX92" s="24"/>
      <c r="CXY92" s="24"/>
      <c r="CXZ92" s="24"/>
      <c r="CYA92" s="24"/>
      <c r="CYB92" s="24"/>
      <c r="CYC92" s="24"/>
      <c r="CYD92" s="24"/>
      <c r="CYE92" s="24"/>
      <c r="CYF92" s="24"/>
      <c r="CYG92" s="24"/>
      <c r="CYH92" s="24"/>
      <c r="CYI92" s="24"/>
      <c r="CYJ92" s="24"/>
      <c r="CYK92" s="24"/>
      <c r="CYL92" s="24"/>
      <c r="CYM92" s="24"/>
      <c r="CYN92" s="24"/>
      <c r="CYO92" s="24"/>
      <c r="CYP92" s="24"/>
      <c r="CYQ92" s="24"/>
      <c r="CYR92" s="24"/>
      <c r="CYS92" s="24"/>
      <c r="CYT92" s="24"/>
      <c r="CYU92" s="24"/>
      <c r="CYV92" s="24"/>
      <c r="CYW92" s="24"/>
      <c r="CYX92" s="24"/>
      <c r="CYY92" s="24"/>
      <c r="CYZ92" s="24"/>
      <c r="CZA92" s="24"/>
      <c r="CZB92" s="24"/>
      <c r="CZC92" s="24"/>
      <c r="CZD92" s="24"/>
      <c r="CZE92" s="24"/>
      <c r="CZF92" s="24"/>
      <c r="CZG92" s="24"/>
      <c r="CZH92" s="24"/>
      <c r="CZI92" s="24"/>
      <c r="CZJ92" s="24"/>
      <c r="CZK92" s="24"/>
      <c r="CZL92" s="24"/>
      <c r="CZM92" s="24"/>
      <c r="CZN92" s="24"/>
      <c r="CZO92" s="24"/>
      <c r="CZP92" s="24"/>
      <c r="CZQ92" s="24"/>
      <c r="CZR92" s="24"/>
      <c r="CZS92" s="24"/>
      <c r="CZT92" s="24"/>
      <c r="CZU92" s="24"/>
      <c r="CZV92" s="24"/>
      <c r="CZW92" s="24"/>
      <c r="CZX92" s="24"/>
      <c r="CZY92" s="24"/>
      <c r="CZZ92" s="24"/>
      <c r="DAA92" s="24"/>
      <c r="DAB92" s="24"/>
      <c r="DAC92" s="24"/>
      <c r="DAD92" s="24"/>
      <c r="DAE92" s="24"/>
      <c r="DAF92" s="24"/>
      <c r="DAG92" s="24"/>
      <c r="DAH92" s="24"/>
      <c r="DAI92" s="24"/>
      <c r="DAJ92" s="24"/>
      <c r="DAK92" s="24"/>
      <c r="DAL92" s="24"/>
      <c r="DAM92" s="24"/>
      <c r="DAN92" s="24"/>
      <c r="DAO92" s="24"/>
      <c r="DAP92" s="24"/>
      <c r="DAQ92" s="24"/>
      <c r="DAR92" s="24"/>
      <c r="DAS92" s="24"/>
      <c r="DAT92" s="24"/>
      <c r="DAU92" s="24"/>
      <c r="DAV92" s="24"/>
      <c r="DAW92" s="24"/>
      <c r="DAX92" s="24"/>
      <c r="DAY92" s="24"/>
      <c r="DAZ92" s="24"/>
      <c r="DBA92" s="24"/>
      <c r="DBB92" s="24"/>
      <c r="DBC92" s="24"/>
      <c r="DBD92" s="24"/>
      <c r="DBE92" s="24"/>
      <c r="DBF92" s="24"/>
      <c r="DBG92" s="24"/>
      <c r="DBH92" s="24"/>
      <c r="DBI92" s="24"/>
      <c r="DBJ92" s="24"/>
      <c r="DBK92" s="24"/>
      <c r="DBL92" s="24"/>
      <c r="DBM92" s="24"/>
      <c r="DBN92" s="24"/>
      <c r="DBO92" s="24"/>
      <c r="DBP92" s="24"/>
      <c r="DBQ92" s="24"/>
      <c r="DBR92" s="24"/>
      <c r="DBS92" s="24"/>
      <c r="DBT92" s="24"/>
      <c r="DBU92" s="24"/>
      <c r="DBV92" s="24"/>
      <c r="DBW92" s="24"/>
      <c r="DBX92" s="24"/>
      <c r="DBY92" s="24"/>
      <c r="DBZ92" s="24"/>
      <c r="DCA92" s="24"/>
      <c r="DCB92" s="24"/>
      <c r="DCC92" s="24"/>
      <c r="DCD92" s="24"/>
      <c r="DCE92" s="24"/>
      <c r="DCF92" s="24"/>
      <c r="DCG92" s="24"/>
      <c r="DCH92" s="24"/>
      <c r="DCI92" s="24"/>
      <c r="DCJ92" s="24"/>
      <c r="DCK92" s="24"/>
      <c r="DCL92" s="24"/>
      <c r="DCM92" s="24"/>
      <c r="DCN92" s="24"/>
      <c r="DCO92" s="24"/>
      <c r="DCP92" s="24"/>
      <c r="DCQ92" s="24"/>
      <c r="DCR92" s="24"/>
      <c r="DCS92" s="24"/>
      <c r="DCT92" s="24"/>
      <c r="DCU92" s="24"/>
      <c r="DCV92" s="24"/>
      <c r="DCW92" s="24"/>
      <c r="DCX92" s="24"/>
      <c r="DCY92" s="24"/>
      <c r="DCZ92" s="24"/>
      <c r="DDA92" s="24"/>
      <c r="DDB92" s="24"/>
      <c r="DDC92" s="24"/>
      <c r="DDD92" s="24"/>
      <c r="DDE92" s="24"/>
      <c r="DDF92" s="24"/>
      <c r="DDG92" s="24"/>
      <c r="DDH92" s="24"/>
      <c r="DDI92" s="24"/>
      <c r="DDJ92" s="24"/>
      <c r="DDK92" s="24"/>
      <c r="DDL92" s="24"/>
      <c r="DDM92" s="24"/>
      <c r="DDN92" s="24"/>
      <c r="DDO92" s="24"/>
      <c r="DDP92" s="24"/>
      <c r="DDQ92" s="24"/>
      <c r="DDR92" s="24"/>
      <c r="DDS92" s="24"/>
      <c r="DDT92" s="24"/>
      <c r="DDU92" s="24"/>
      <c r="DDV92" s="24"/>
      <c r="DDW92" s="24"/>
      <c r="DDX92" s="24"/>
      <c r="DDY92" s="24"/>
      <c r="DDZ92" s="24"/>
      <c r="DEA92" s="24"/>
      <c r="DEB92" s="24"/>
      <c r="DEC92" s="24"/>
      <c r="DED92" s="24"/>
      <c r="DEE92" s="24"/>
      <c r="DEF92" s="24"/>
      <c r="DEG92" s="24"/>
      <c r="DEH92" s="24"/>
      <c r="DEI92" s="24"/>
      <c r="DEJ92" s="24"/>
      <c r="DEK92" s="24"/>
      <c r="DEL92" s="24"/>
      <c r="DEM92" s="24"/>
      <c r="DEN92" s="24"/>
      <c r="DEO92" s="24"/>
      <c r="DEP92" s="24"/>
      <c r="DEQ92" s="24"/>
      <c r="DER92" s="24"/>
      <c r="DES92" s="24"/>
      <c r="DET92" s="24"/>
      <c r="DEU92" s="24"/>
      <c r="DEV92" s="24"/>
      <c r="DEW92" s="24"/>
      <c r="DEX92" s="24"/>
      <c r="DEY92" s="24"/>
      <c r="DEZ92" s="24"/>
      <c r="DFA92" s="24"/>
      <c r="DFB92" s="24"/>
      <c r="DFC92" s="24"/>
      <c r="DFD92" s="24"/>
      <c r="DFE92" s="24"/>
      <c r="DFF92" s="24"/>
      <c r="DFG92" s="24"/>
      <c r="DFH92" s="24"/>
      <c r="DFI92" s="24"/>
      <c r="DFJ92" s="24"/>
      <c r="DFK92" s="24"/>
      <c r="DFL92" s="24"/>
      <c r="DFM92" s="24"/>
      <c r="DFN92" s="24"/>
      <c r="DFO92" s="24"/>
      <c r="DFP92" s="24"/>
      <c r="DFQ92" s="24"/>
      <c r="DFR92" s="24"/>
      <c r="DFS92" s="24"/>
      <c r="DFT92" s="24"/>
      <c r="DFU92" s="24"/>
      <c r="DFV92" s="24"/>
      <c r="DFW92" s="24"/>
      <c r="DFX92" s="24"/>
      <c r="DFY92" s="24"/>
      <c r="DFZ92" s="24"/>
      <c r="DGA92" s="24"/>
      <c r="DGB92" s="24"/>
      <c r="DGC92" s="24"/>
      <c r="DGD92" s="24"/>
      <c r="DGE92" s="24"/>
      <c r="DGF92" s="24"/>
      <c r="DGG92" s="24"/>
      <c r="DGH92" s="24"/>
      <c r="DGI92" s="24"/>
      <c r="DGJ92" s="24"/>
      <c r="DGK92" s="24"/>
      <c r="DGL92" s="24"/>
      <c r="DGM92" s="24"/>
      <c r="DGN92" s="24"/>
      <c r="DGO92" s="24"/>
      <c r="DGP92" s="24"/>
      <c r="DGQ92" s="24"/>
      <c r="DGR92" s="24"/>
      <c r="DGS92" s="24"/>
      <c r="DGT92" s="24"/>
      <c r="DGU92" s="24"/>
      <c r="DGV92" s="24"/>
      <c r="DGW92" s="24"/>
      <c r="DGX92" s="24"/>
      <c r="DGY92" s="24"/>
      <c r="DGZ92" s="24"/>
      <c r="DHA92" s="24"/>
      <c r="DHB92" s="24"/>
      <c r="DHC92" s="24"/>
      <c r="DHD92" s="24"/>
      <c r="DHE92" s="24"/>
      <c r="DHF92" s="24"/>
      <c r="DHG92" s="24"/>
      <c r="DHH92" s="24"/>
      <c r="DHI92" s="24"/>
      <c r="DHJ92" s="24"/>
      <c r="DHK92" s="24"/>
      <c r="DHL92" s="24"/>
      <c r="DHM92" s="24"/>
      <c r="DHN92" s="24"/>
      <c r="DHO92" s="24"/>
      <c r="DHP92" s="24"/>
      <c r="DHQ92" s="24"/>
      <c r="DHR92" s="24"/>
      <c r="DHS92" s="24"/>
      <c r="DHT92" s="24"/>
      <c r="DHU92" s="24"/>
      <c r="DHV92" s="24"/>
      <c r="DHW92" s="24"/>
      <c r="DHX92" s="24"/>
      <c r="DHY92" s="24"/>
      <c r="DHZ92" s="24"/>
      <c r="DIA92" s="24"/>
      <c r="DIB92" s="24"/>
      <c r="DIC92" s="24"/>
      <c r="DID92" s="24"/>
      <c r="DIE92" s="24"/>
      <c r="DIF92" s="24"/>
      <c r="DIG92" s="24"/>
      <c r="DIH92" s="24"/>
      <c r="DII92" s="24"/>
      <c r="DIJ92" s="24"/>
      <c r="DIK92" s="24"/>
      <c r="DIL92" s="24"/>
      <c r="DIM92" s="24"/>
      <c r="DIN92" s="24"/>
      <c r="DIO92" s="24"/>
      <c r="DIP92" s="24"/>
      <c r="DIQ92" s="24"/>
      <c r="DIR92" s="24"/>
      <c r="DIS92" s="24"/>
      <c r="DIT92" s="24"/>
      <c r="DIU92" s="24"/>
      <c r="DIV92" s="24"/>
      <c r="DIW92" s="24"/>
      <c r="DIX92" s="24"/>
      <c r="DIY92" s="24"/>
      <c r="DIZ92" s="24"/>
      <c r="DJA92" s="24"/>
      <c r="DJB92" s="24"/>
      <c r="DJC92" s="24"/>
      <c r="DJD92" s="24"/>
      <c r="DJE92" s="24"/>
      <c r="DJF92" s="24"/>
      <c r="DJG92" s="24"/>
      <c r="DJH92" s="24"/>
      <c r="DJI92" s="24"/>
      <c r="DJJ92" s="24"/>
      <c r="DJK92" s="24"/>
      <c r="DJL92" s="24"/>
      <c r="DJM92" s="24"/>
      <c r="DJN92" s="24"/>
      <c r="DJO92" s="24"/>
      <c r="DJP92" s="24"/>
      <c r="DJQ92" s="24"/>
      <c r="DJR92" s="24"/>
      <c r="DJS92" s="24"/>
      <c r="DJT92" s="24"/>
      <c r="DJU92" s="24"/>
      <c r="DJV92" s="24"/>
      <c r="DJW92" s="24"/>
      <c r="DJX92" s="24"/>
      <c r="DJY92" s="24"/>
      <c r="DJZ92" s="24"/>
      <c r="DKA92" s="24"/>
      <c r="DKB92" s="24"/>
      <c r="DKC92" s="24"/>
      <c r="DKD92" s="24"/>
      <c r="DKE92" s="24"/>
      <c r="DKF92" s="24"/>
      <c r="DKG92" s="24"/>
      <c r="DKH92" s="24"/>
      <c r="DKI92" s="24"/>
      <c r="DKJ92" s="24"/>
      <c r="DKK92" s="24"/>
      <c r="DKL92" s="24"/>
      <c r="DKM92" s="24"/>
      <c r="DKN92" s="24"/>
      <c r="DKO92" s="24"/>
      <c r="DKP92" s="24"/>
      <c r="DKQ92" s="24"/>
      <c r="DKR92" s="24"/>
      <c r="DKS92" s="24"/>
      <c r="DKT92" s="24"/>
      <c r="DKU92" s="24"/>
      <c r="DKV92" s="24"/>
      <c r="DKW92" s="24"/>
      <c r="DKX92" s="24"/>
      <c r="DKY92" s="24"/>
      <c r="DKZ92" s="24"/>
      <c r="DLA92" s="24"/>
      <c r="DLB92" s="24"/>
      <c r="DLC92" s="24"/>
      <c r="DLD92" s="24"/>
      <c r="DLE92" s="24"/>
      <c r="DLF92" s="24"/>
      <c r="DLG92" s="24"/>
      <c r="DLH92" s="24"/>
      <c r="DLI92" s="24"/>
      <c r="DLJ92" s="24"/>
      <c r="DLK92" s="24"/>
      <c r="DLL92" s="24"/>
      <c r="DLM92" s="24"/>
      <c r="DLN92" s="24"/>
      <c r="DLO92" s="24"/>
      <c r="DLP92" s="24"/>
      <c r="DLQ92" s="24"/>
      <c r="DLR92" s="24"/>
      <c r="DLS92" s="24"/>
      <c r="DLT92" s="24"/>
      <c r="DLU92" s="24"/>
      <c r="DLV92" s="24"/>
      <c r="DLW92" s="24"/>
      <c r="DLX92" s="24"/>
      <c r="DLY92" s="24"/>
      <c r="DLZ92" s="24"/>
      <c r="DMA92" s="24"/>
      <c r="DMB92" s="24"/>
      <c r="DMC92" s="24"/>
      <c r="DMD92" s="24"/>
      <c r="DME92" s="24"/>
      <c r="DMF92" s="24"/>
      <c r="DMG92" s="24"/>
      <c r="DMH92" s="24"/>
      <c r="DMI92" s="24"/>
      <c r="DMJ92" s="24"/>
      <c r="DMK92" s="24"/>
      <c r="DML92" s="24"/>
      <c r="DMM92" s="24"/>
      <c r="DMN92" s="24"/>
      <c r="DMO92" s="24"/>
      <c r="DMP92" s="24"/>
      <c r="DMQ92" s="24"/>
      <c r="DMR92" s="24"/>
      <c r="DMS92" s="24"/>
      <c r="DMT92" s="24"/>
      <c r="DMU92" s="24"/>
      <c r="DMV92" s="24"/>
      <c r="DMW92" s="24"/>
      <c r="DMX92" s="24"/>
      <c r="DMY92" s="24"/>
      <c r="DMZ92" s="24"/>
      <c r="DNA92" s="24"/>
      <c r="DNB92" s="24"/>
      <c r="DNC92" s="24"/>
      <c r="DND92" s="24"/>
      <c r="DNE92" s="24"/>
      <c r="DNF92" s="24"/>
      <c r="DNG92" s="24"/>
      <c r="DNH92" s="24"/>
      <c r="DNI92" s="24"/>
      <c r="DNJ92" s="24"/>
      <c r="DNK92" s="24"/>
      <c r="DNL92" s="24"/>
      <c r="DNM92" s="24"/>
      <c r="DNN92" s="24"/>
      <c r="DNO92" s="24"/>
      <c r="DNP92" s="24"/>
      <c r="DNQ92" s="24"/>
      <c r="DNR92" s="24"/>
      <c r="DNS92" s="24"/>
      <c r="DNT92" s="24"/>
      <c r="DNU92" s="24"/>
      <c r="DNV92" s="24"/>
      <c r="DNW92" s="24"/>
      <c r="DNX92" s="24"/>
      <c r="DNY92" s="24"/>
      <c r="DNZ92" s="24"/>
      <c r="DOA92" s="24"/>
      <c r="DOB92" s="24"/>
      <c r="DOC92" s="24"/>
      <c r="DOD92" s="24"/>
      <c r="DOE92" s="24"/>
      <c r="DOF92" s="24"/>
      <c r="DOG92" s="24"/>
      <c r="DOH92" s="24"/>
      <c r="DOI92" s="24"/>
      <c r="DOJ92" s="24"/>
      <c r="DOK92" s="24"/>
      <c r="DOL92" s="24"/>
      <c r="DOM92" s="24"/>
      <c r="DON92" s="24"/>
      <c r="DOO92" s="24"/>
      <c r="DOP92" s="24"/>
      <c r="DOQ92" s="24"/>
      <c r="DOR92" s="24"/>
      <c r="DOS92" s="24"/>
      <c r="DOT92" s="24"/>
      <c r="DOU92" s="24"/>
      <c r="DOV92" s="24"/>
      <c r="DOW92" s="24"/>
      <c r="DOX92" s="24"/>
      <c r="DOY92" s="24"/>
      <c r="DOZ92" s="24"/>
      <c r="DPA92" s="24"/>
      <c r="DPB92" s="24"/>
      <c r="DPC92" s="24"/>
      <c r="DPD92" s="24"/>
      <c r="DPE92" s="24"/>
      <c r="DPF92" s="24"/>
      <c r="DPG92" s="24"/>
      <c r="DPH92" s="24"/>
      <c r="DPI92" s="24"/>
      <c r="DPJ92" s="24"/>
      <c r="DPK92" s="24"/>
      <c r="DPL92" s="24"/>
      <c r="DPM92" s="24"/>
      <c r="DPN92" s="24"/>
      <c r="DPO92" s="24"/>
      <c r="DPP92" s="24"/>
      <c r="DPQ92" s="24"/>
      <c r="DPR92" s="24"/>
      <c r="DPS92" s="24"/>
      <c r="DPT92" s="24"/>
      <c r="DPU92" s="24"/>
      <c r="DPV92" s="24"/>
      <c r="DPW92" s="24"/>
      <c r="DPX92" s="24"/>
      <c r="DPY92" s="24"/>
      <c r="DPZ92" s="24"/>
      <c r="DQA92" s="24"/>
      <c r="DQB92" s="24"/>
      <c r="DQC92" s="24"/>
      <c r="DQD92" s="24"/>
      <c r="DQE92" s="24"/>
      <c r="DQF92" s="24"/>
      <c r="DQG92" s="24"/>
      <c r="DQH92" s="24"/>
      <c r="DQI92" s="24"/>
      <c r="DQJ92" s="24"/>
      <c r="DQK92" s="24"/>
      <c r="DQL92" s="24"/>
      <c r="DQM92" s="24"/>
      <c r="DQN92" s="24"/>
      <c r="DQO92" s="24"/>
      <c r="DQP92" s="24"/>
      <c r="DQQ92" s="24"/>
      <c r="DQR92" s="24"/>
      <c r="DQS92" s="24"/>
      <c r="DQT92" s="24"/>
      <c r="DQU92" s="24"/>
      <c r="DQV92" s="24"/>
      <c r="DQW92" s="24"/>
      <c r="DQX92" s="24"/>
      <c r="DQY92" s="24"/>
      <c r="DQZ92" s="24"/>
      <c r="DRA92" s="24"/>
      <c r="DRB92" s="24"/>
      <c r="DRC92" s="24"/>
      <c r="DRD92" s="24"/>
      <c r="DRE92" s="24"/>
      <c r="DRF92" s="24"/>
      <c r="DRG92" s="24"/>
      <c r="DRH92" s="24"/>
      <c r="DRI92" s="24"/>
      <c r="DRJ92" s="24"/>
      <c r="DRK92" s="24"/>
      <c r="DRL92" s="24"/>
      <c r="DRM92" s="24"/>
      <c r="DRN92" s="24"/>
      <c r="DRO92" s="24"/>
      <c r="DRP92" s="24"/>
      <c r="DRQ92" s="24"/>
      <c r="DRR92" s="24"/>
      <c r="DRS92" s="24"/>
      <c r="DRT92" s="24"/>
      <c r="DRU92" s="24"/>
      <c r="DRV92" s="24"/>
      <c r="DRW92" s="24"/>
      <c r="DRX92" s="24"/>
      <c r="DRY92" s="24"/>
      <c r="DRZ92" s="24"/>
      <c r="DSA92" s="24"/>
      <c r="DSB92" s="24"/>
      <c r="DSC92" s="24"/>
      <c r="DSD92" s="24"/>
      <c r="DSE92" s="24"/>
      <c r="DSF92" s="24"/>
      <c r="DSG92" s="24"/>
      <c r="DSH92" s="24"/>
      <c r="DSI92" s="24"/>
      <c r="DSJ92" s="24"/>
      <c r="DSK92" s="24"/>
      <c r="DSL92" s="24"/>
      <c r="DSM92" s="24"/>
      <c r="DSN92" s="24"/>
      <c r="DSO92" s="24"/>
      <c r="DSP92" s="24"/>
      <c r="DSQ92" s="24"/>
      <c r="DSR92" s="24"/>
      <c r="DSS92" s="24"/>
      <c r="DST92" s="24"/>
      <c r="DSU92" s="24"/>
      <c r="DSV92" s="24"/>
      <c r="DSW92" s="24"/>
      <c r="DSX92" s="24"/>
      <c r="DSY92" s="24"/>
      <c r="DSZ92" s="24"/>
      <c r="DTA92" s="24"/>
      <c r="DTB92" s="24"/>
      <c r="DTC92" s="24"/>
      <c r="DTD92" s="24"/>
      <c r="DTE92" s="24"/>
      <c r="DTF92" s="24"/>
      <c r="DTG92" s="24"/>
      <c r="DTH92" s="24"/>
      <c r="DTI92" s="24"/>
      <c r="DTJ92" s="24"/>
      <c r="DTK92" s="24"/>
      <c r="DTL92" s="24"/>
      <c r="DTM92" s="24"/>
      <c r="DTN92" s="24"/>
      <c r="DTO92" s="24"/>
      <c r="DTP92" s="24"/>
      <c r="DTQ92" s="24"/>
      <c r="DTR92" s="24"/>
      <c r="DTS92" s="24"/>
      <c r="DTT92" s="24"/>
      <c r="DTU92" s="24"/>
      <c r="DTV92" s="24"/>
      <c r="DTW92" s="24"/>
      <c r="DTX92" s="24"/>
      <c r="DTY92" s="24"/>
      <c r="DTZ92" s="24"/>
      <c r="DUA92" s="24"/>
      <c r="DUB92" s="24"/>
      <c r="DUC92" s="24"/>
      <c r="DUD92" s="24"/>
      <c r="DUE92" s="24"/>
      <c r="DUF92" s="24"/>
      <c r="DUG92" s="24"/>
      <c r="DUH92" s="24"/>
      <c r="DUI92" s="24"/>
      <c r="DUJ92" s="24"/>
      <c r="DUK92" s="24"/>
      <c r="DUL92" s="24"/>
      <c r="DUM92" s="24"/>
      <c r="DUN92" s="24"/>
      <c r="DUO92" s="24"/>
      <c r="DUP92" s="24"/>
      <c r="DUQ92" s="24"/>
      <c r="DUR92" s="24"/>
      <c r="DUS92" s="24"/>
      <c r="DUT92" s="24"/>
      <c r="DUU92" s="24"/>
      <c r="DUV92" s="24"/>
      <c r="DUW92" s="24"/>
      <c r="DUX92" s="24"/>
      <c r="DUY92" s="24"/>
      <c r="DUZ92" s="24"/>
      <c r="DVA92" s="24"/>
      <c r="DVB92" s="24"/>
      <c r="DVC92" s="24"/>
      <c r="DVD92" s="24"/>
      <c r="DVE92" s="24"/>
      <c r="DVF92" s="24"/>
      <c r="DVG92" s="24"/>
      <c r="DVH92" s="24"/>
      <c r="DVI92" s="24"/>
      <c r="DVJ92" s="24"/>
      <c r="DVK92" s="24"/>
      <c r="DVL92" s="24"/>
      <c r="DVM92" s="24"/>
      <c r="DVN92" s="24"/>
      <c r="DVO92" s="24"/>
      <c r="DVP92" s="24"/>
      <c r="DVQ92" s="24"/>
      <c r="DVR92" s="24"/>
      <c r="DVS92" s="24"/>
      <c r="DVT92" s="24"/>
      <c r="DVU92" s="24"/>
      <c r="DVV92" s="24"/>
      <c r="DVW92" s="24"/>
      <c r="DVX92" s="24"/>
      <c r="DVY92" s="24"/>
      <c r="DVZ92" s="24"/>
      <c r="DWA92" s="24"/>
      <c r="DWB92" s="24"/>
      <c r="DWC92" s="24"/>
      <c r="DWD92" s="24"/>
      <c r="DWE92" s="24"/>
      <c r="DWF92" s="24"/>
      <c r="DWG92" s="24"/>
      <c r="DWH92" s="24"/>
      <c r="DWI92" s="24"/>
      <c r="DWJ92" s="24"/>
      <c r="DWK92" s="24"/>
      <c r="DWL92" s="24"/>
      <c r="DWM92" s="24"/>
      <c r="DWN92" s="24"/>
      <c r="DWO92" s="24"/>
      <c r="DWP92" s="24"/>
      <c r="DWQ92" s="24"/>
      <c r="DWR92" s="24"/>
      <c r="DWS92" s="24"/>
      <c r="DWT92" s="24"/>
      <c r="DWU92" s="24"/>
      <c r="DWV92" s="24"/>
      <c r="DWW92" s="24"/>
      <c r="DWX92" s="24"/>
      <c r="DWY92" s="24"/>
      <c r="DWZ92" s="24"/>
      <c r="DXA92" s="24"/>
      <c r="DXB92" s="24"/>
      <c r="DXC92" s="24"/>
      <c r="DXD92" s="24"/>
      <c r="DXE92" s="24"/>
      <c r="DXF92" s="24"/>
      <c r="DXG92" s="24"/>
      <c r="DXH92" s="24"/>
      <c r="DXI92" s="24"/>
      <c r="DXJ92" s="24"/>
      <c r="DXK92" s="24"/>
      <c r="DXL92" s="24"/>
      <c r="DXM92" s="24"/>
      <c r="DXN92" s="24"/>
      <c r="DXO92" s="24"/>
      <c r="DXP92" s="24"/>
      <c r="DXQ92" s="24"/>
      <c r="DXR92" s="24"/>
      <c r="DXS92" s="24"/>
      <c r="DXT92" s="24"/>
      <c r="DXU92" s="24"/>
      <c r="DXV92" s="24"/>
      <c r="DXW92" s="24"/>
      <c r="DXX92" s="24"/>
      <c r="DXY92" s="24"/>
      <c r="DXZ92" s="24"/>
      <c r="DYA92" s="24"/>
      <c r="DYB92" s="24"/>
      <c r="DYC92" s="24"/>
      <c r="DYD92" s="24"/>
      <c r="DYE92" s="24"/>
      <c r="DYF92" s="24"/>
      <c r="DYG92" s="24"/>
      <c r="DYH92" s="24"/>
      <c r="DYI92" s="24"/>
      <c r="DYJ92" s="24"/>
      <c r="DYK92" s="24"/>
      <c r="DYL92" s="24"/>
      <c r="DYM92" s="24"/>
      <c r="DYN92" s="24"/>
      <c r="DYO92" s="24"/>
      <c r="DYP92" s="24"/>
      <c r="DYQ92" s="24"/>
      <c r="DYR92" s="24"/>
      <c r="DYS92" s="24"/>
      <c r="DYT92" s="24"/>
      <c r="DYU92" s="24"/>
      <c r="DYV92" s="24"/>
      <c r="DYW92" s="24"/>
      <c r="DYX92" s="24"/>
      <c r="DYY92" s="24"/>
      <c r="DYZ92" s="24"/>
      <c r="DZA92" s="24"/>
      <c r="DZB92" s="24"/>
      <c r="DZC92" s="24"/>
      <c r="DZD92" s="24"/>
      <c r="DZE92" s="24"/>
      <c r="DZF92" s="24"/>
      <c r="DZG92" s="24"/>
      <c r="DZH92" s="24"/>
      <c r="DZI92" s="24"/>
      <c r="DZJ92" s="24"/>
      <c r="DZK92" s="24"/>
      <c r="DZL92" s="24"/>
      <c r="DZM92" s="24"/>
      <c r="DZN92" s="24"/>
      <c r="DZO92" s="24"/>
      <c r="DZP92" s="24"/>
      <c r="DZQ92" s="24"/>
      <c r="DZR92" s="24"/>
      <c r="DZS92" s="24"/>
      <c r="DZT92" s="24"/>
      <c r="DZU92" s="24"/>
      <c r="DZV92" s="24"/>
      <c r="DZW92" s="24"/>
      <c r="DZX92" s="24"/>
      <c r="DZY92" s="24"/>
      <c r="DZZ92" s="24"/>
      <c r="EAA92" s="24"/>
      <c r="EAB92" s="24"/>
      <c r="EAC92" s="24"/>
      <c r="EAD92" s="24"/>
      <c r="EAE92" s="24"/>
      <c r="EAF92" s="24"/>
      <c r="EAG92" s="24"/>
      <c r="EAH92" s="24"/>
      <c r="EAI92" s="24"/>
      <c r="EAJ92" s="24"/>
      <c r="EAK92" s="24"/>
      <c r="EAL92" s="24"/>
      <c r="EAM92" s="24"/>
      <c r="EAN92" s="24"/>
      <c r="EAO92" s="24"/>
      <c r="EAP92" s="24"/>
      <c r="EAQ92" s="24"/>
      <c r="EAR92" s="24"/>
      <c r="EAS92" s="24"/>
      <c r="EAT92" s="24"/>
      <c r="EAU92" s="24"/>
      <c r="EAV92" s="24"/>
      <c r="EAW92" s="24"/>
      <c r="EAX92" s="24"/>
      <c r="EAY92" s="24"/>
      <c r="EAZ92" s="24"/>
      <c r="EBA92" s="24"/>
      <c r="EBB92" s="24"/>
      <c r="EBC92" s="24"/>
      <c r="EBD92" s="24"/>
      <c r="EBE92" s="24"/>
      <c r="EBF92" s="24"/>
      <c r="EBG92" s="24"/>
      <c r="EBH92" s="24"/>
      <c r="EBI92" s="24"/>
      <c r="EBJ92" s="24"/>
      <c r="EBK92" s="24"/>
      <c r="EBL92" s="24"/>
      <c r="EBM92" s="24"/>
      <c r="EBN92" s="24"/>
      <c r="EBO92" s="24"/>
      <c r="EBP92" s="24"/>
      <c r="EBQ92" s="24"/>
      <c r="EBR92" s="24"/>
      <c r="EBS92" s="24"/>
      <c r="EBT92" s="24"/>
      <c r="EBU92" s="24"/>
      <c r="EBV92" s="24"/>
      <c r="EBW92" s="24"/>
      <c r="EBX92" s="24"/>
      <c r="EBY92" s="24"/>
      <c r="EBZ92" s="24"/>
      <c r="ECA92" s="24"/>
      <c r="ECB92" s="24"/>
      <c r="ECC92" s="24"/>
      <c r="ECD92" s="24"/>
      <c r="ECE92" s="24"/>
      <c r="ECF92" s="24"/>
      <c r="ECG92" s="24"/>
      <c r="ECH92" s="24"/>
      <c r="ECI92" s="24"/>
      <c r="ECJ92" s="24"/>
      <c r="ECK92" s="24"/>
      <c r="ECL92" s="24"/>
      <c r="ECM92" s="24"/>
      <c r="ECN92" s="24"/>
      <c r="ECO92" s="24"/>
      <c r="ECP92" s="24"/>
      <c r="ECQ92" s="24"/>
      <c r="ECR92" s="24"/>
      <c r="ECS92" s="24"/>
      <c r="ECT92" s="24"/>
      <c r="ECU92" s="24"/>
      <c r="ECV92" s="24"/>
      <c r="ECW92" s="24"/>
      <c r="ECX92" s="24"/>
      <c r="ECY92" s="24"/>
      <c r="ECZ92" s="24"/>
      <c r="EDA92" s="24"/>
      <c r="EDB92" s="24"/>
      <c r="EDC92" s="24"/>
      <c r="EDD92" s="24"/>
      <c r="EDE92" s="24"/>
      <c r="EDF92" s="24"/>
      <c r="EDG92" s="24"/>
      <c r="EDH92" s="24"/>
      <c r="EDI92" s="24"/>
      <c r="EDJ92" s="24"/>
      <c r="EDK92" s="24"/>
      <c r="EDL92" s="24"/>
      <c r="EDM92" s="24"/>
      <c r="EDN92" s="24"/>
      <c r="EDO92" s="24"/>
      <c r="EDP92" s="24"/>
      <c r="EDQ92" s="24"/>
      <c r="EDR92" s="24"/>
      <c r="EDS92" s="24"/>
      <c r="EDT92" s="24"/>
      <c r="EDU92" s="24"/>
      <c r="EDV92" s="24"/>
      <c r="EDW92" s="24"/>
      <c r="EDX92" s="24"/>
      <c r="EDY92" s="24"/>
      <c r="EDZ92" s="24"/>
      <c r="EEA92" s="24"/>
      <c r="EEB92" s="24"/>
      <c r="EEC92" s="24"/>
      <c r="EED92" s="24"/>
      <c r="EEE92" s="24"/>
      <c r="EEF92" s="24"/>
      <c r="EEG92" s="24"/>
      <c r="EEH92" s="24"/>
      <c r="EEI92" s="24"/>
      <c r="EEJ92" s="24"/>
      <c r="EEK92" s="24"/>
      <c r="EEL92" s="24"/>
      <c r="EEM92" s="24"/>
      <c r="EEN92" s="24"/>
      <c r="EEO92" s="24"/>
      <c r="EEP92" s="24"/>
      <c r="EEQ92" s="24"/>
      <c r="EER92" s="24"/>
      <c r="EES92" s="24"/>
      <c r="EET92" s="24"/>
      <c r="EEU92" s="24"/>
      <c r="EEV92" s="24"/>
      <c r="EEW92" s="24"/>
      <c r="EEX92" s="24"/>
      <c r="EEY92" s="24"/>
      <c r="EEZ92" s="24"/>
      <c r="EFA92" s="24"/>
      <c r="EFB92" s="24"/>
      <c r="EFC92" s="24"/>
      <c r="EFD92" s="24"/>
      <c r="EFE92" s="24"/>
      <c r="EFF92" s="24"/>
      <c r="EFG92" s="24"/>
      <c r="EFH92" s="24"/>
      <c r="EFI92" s="24"/>
      <c r="EFJ92" s="24"/>
      <c r="EFK92" s="24"/>
      <c r="EFL92" s="24"/>
      <c r="EFM92" s="24"/>
      <c r="EFN92" s="24"/>
      <c r="EFO92" s="24"/>
      <c r="EFP92" s="24"/>
      <c r="EFQ92" s="24"/>
      <c r="EFR92" s="24"/>
      <c r="EFS92" s="24"/>
      <c r="EFT92" s="24"/>
      <c r="EFU92" s="24"/>
      <c r="EFV92" s="24"/>
      <c r="EFW92" s="24"/>
      <c r="EFX92" s="24"/>
      <c r="EFY92" s="24"/>
      <c r="EFZ92" s="24"/>
      <c r="EGA92" s="24"/>
      <c r="EGB92" s="24"/>
      <c r="EGC92" s="24"/>
      <c r="EGD92" s="24"/>
      <c r="EGE92" s="24"/>
      <c r="EGF92" s="24"/>
      <c r="EGG92" s="24"/>
      <c r="EGH92" s="24"/>
      <c r="EGI92" s="24"/>
      <c r="EGJ92" s="24"/>
      <c r="EGK92" s="24"/>
      <c r="EGL92" s="24"/>
      <c r="EGM92" s="24"/>
      <c r="EGN92" s="24"/>
      <c r="EGO92" s="24"/>
      <c r="EGP92" s="24"/>
      <c r="EGQ92" s="24"/>
      <c r="EGR92" s="24"/>
      <c r="EGS92" s="24"/>
      <c r="EGT92" s="24"/>
      <c r="EGU92" s="24"/>
      <c r="EGV92" s="24"/>
      <c r="EGW92" s="24"/>
      <c r="EGX92" s="24"/>
      <c r="EGY92" s="24"/>
      <c r="EGZ92" s="24"/>
      <c r="EHA92" s="24"/>
      <c r="EHB92" s="24"/>
      <c r="EHC92" s="24"/>
      <c r="EHD92" s="24"/>
      <c r="EHE92" s="24"/>
      <c r="EHF92" s="24"/>
      <c r="EHG92" s="24"/>
      <c r="EHH92" s="24"/>
      <c r="EHI92" s="24"/>
      <c r="EHJ92" s="24"/>
      <c r="EHK92" s="24"/>
      <c r="EHL92" s="24"/>
      <c r="EHM92" s="24"/>
      <c r="EHN92" s="24"/>
      <c r="EHO92" s="24"/>
      <c r="EHP92" s="24"/>
      <c r="EHQ92" s="24"/>
      <c r="EHR92" s="24"/>
      <c r="EHS92" s="24"/>
      <c r="EHT92" s="24"/>
      <c r="EHU92" s="24"/>
      <c r="EHV92" s="24"/>
      <c r="EHW92" s="24"/>
      <c r="EHX92" s="24"/>
      <c r="EHY92" s="24"/>
      <c r="EHZ92" s="24"/>
      <c r="EIA92" s="24"/>
      <c r="EIB92" s="24"/>
      <c r="EIC92" s="24"/>
      <c r="EID92" s="24"/>
      <c r="EIE92" s="24"/>
      <c r="EIF92" s="24"/>
      <c r="EIG92" s="24"/>
      <c r="EIH92" s="24"/>
      <c r="EII92" s="24"/>
      <c r="EIJ92" s="24"/>
      <c r="EIK92" s="24"/>
      <c r="EIL92" s="24"/>
      <c r="EIM92" s="24"/>
      <c r="EIN92" s="24"/>
      <c r="EIO92" s="24"/>
      <c r="EIP92" s="24"/>
      <c r="EIQ92" s="24"/>
      <c r="EIR92" s="24"/>
      <c r="EIS92" s="24"/>
      <c r="EIT92" s="24"/>
      <c r="EIU92" s="24"/>
      <c r="EIV92" s="24"/>
      <c r="EIW92" s="24"/>
      <c r="EIX92" s="24"/>
      <c r="EIY92" s="24"/>
      <c r="EIZ92" s="24"/>
      <c r="EJA92" s="24"/>
      <c r="EJB92" s="24"/>
      <c r="EJC92" s="24"/>
      <c r="EJD92" s="24"/>
      <c r="EJE92" s="24"/>
      <c r="EJF92" s="24"/>
      <c r="EJG92" s="24"/>
      <c r="EJH92" s="24"/>
      <c r="EJI92" s="24"/>
      <c r="EJJ92" s="24"/>
      <c r="EJK92" s="24"/>
      <c r="EJL92" s="24"/>
      <c r="EJM92" s="24"/>
      <c r="EJN92" s="24"/>
      <c r="EJO92" s="24"/>
      <c r="EJP92" s="24"/>
      <c r="EJQ92" s="24"/>
      <c r="EJR92" s="24"/>
      <c r="EJS92" s="24"/>
      <c r="EJT92" s="24"/>
      <c r="EJU92" s="24"/>
      <c r="EJV92" s="24"/>
      <c r="EJW92" s="24"/>
      <c r="EJX92" s="24"/>
      <c r="EJY92" s="24"/>
      <c r="EJZ92" s="24"/>
      <c r="EKA92" s="24"/>
      <c r="EKB92" s="24"/>
      <c r="EKC92" s="24"/>
      <c r="EKD92" s="24"/>
      <c r="EKE92" s="24"/>
      <c r="EKF92" s="24"/>
      <c r="EKG92" s="24"/>
      <c r="EKH92" s="24"/>
      <c r="EKI92" s="24"/>
      <c r="EKJ92" s="24"/>
      <c r="EKK92" s="24"/>
      <c r="EKL92" s="24"/>
      <c r="EKM92" s="24"/>
      <c r="EKN92" s="24"/>
      <c r="EKO92" s="24"/>
      <c r="EKP92" s="24"/>
      <c r="EKQ92" s="24"/>
      <c r="EKR92" s="24"/>
      <c r="EKS92" s="24"/>
      <c r="EKT92" s="24"/>
      <c r="EKU92" s="24"/>
      <c r="EKV92" s="24"/>
      <c r="EKW92" s="24"/>
      <c r="EKX92" s="24"/>
      <c r="EKY92" s="24"/>
      <c r="EKZ92" s="24"/>
      <c r="ELA92" s="24"/>
      <c r="ELB92" s="24"/>
      <c r="ELC92" s="24"/>
      <c r="ELD92" s="24"/>
      <c r="ELE92" s="24"/>
      <c r="ELF92" s="24"/>
      <c r="ELG92" s="24"/>
      <c r="ELH92" s="24"/>
      <c r="ELI92" s="24"/>
      <c r="ELJ92" s="24"/>
      <c r="ELK92" s="24"/>
      <c r="ELL92" s="24"/>
      <c r="ELM92" s="24"/>
      <c r="ELN92" s="24"/>
      <c r="ELO92" s="24"/>
      <c r="ELP92" s="24"/>
      <c r="ELQ92" s="24"/>
      <c r="ELR92" s="24"/>
      <c r="ELS92" s="24"/>
      <c r="ELT92" s="24"/>
      <c r="ELU92" s="24"/>
      <c r="ELV92" s="24"/>
      <c r="ELW92" s="24"/>
      <c r="ELX92" s="24"/>
      <c r="ELY92" s="24"/>
      <c r="ELZ92" s="24"/>
      <c r="EMA92" s="24"/>
      <c r="EMB92" s="24"/>
      <c r="EMC92" s="24"/>
      <c r="EMD92" s="24"/>
      <c r="EME92" s="24"/>
      <c r="EMF92" s="24"/>
      <c r="EMG92" s="24"/>
      <c r="EMH92" s="24"/>
      <c r="EMI92" s="24"/>
      <c r="EMJ92" s="24"/>
      <c r="EMK92" s="24"/>
      <c r="EML92" s="24"/>
      <c r="EMM92" s="24"/>
      <c r="EMN92" s="24"/>
      <c r="EMO92" s="24"/>
      <c r="EMP92" s="24"/>
      <c r="EMQ92" s="24"/>
      <c r="EMR92" s="24"/>
      <c r="EMS92" s="24"/>
      <c r="EMT92" s="24"/>
      <c r="EMU92" s="24"/>
      <c r="EMV92" s="24"/>
      <c r="EMW92" s="24"/>
      <c r="EMX92" s="24"/>
      <c r="EMY92" s="24"/>
      <c r="EMZ92" s="24"/>
      <c r="ENA92" s="24"/>
      <c r="ENB92" s="24"/>
      <c r="ENC92" s="24"/>
      <c r="END92" s="24"/>
      <c r="ENE92" s="24"/>
      <c r="ENF92" s="24"/>
      <c r="ENG92" s="24"/>
      <c r="ENH92" s="24"/>
      <c r="ENI92" s="24"/>
      <c r="ENJ92" s="24"/>
      <c r="ENK92" s="24"/>
      <c r="ENL92" s="24"/>
      <c r="ENM92" s="24"/>
      <c r="ENN92" s="24"/>
      <c r="ENO92" s="24"/>
      <c r="ENP92" s="24"/>
      <c r="ENQ92" s="24"/>
      <c r="ENR92" s="24"/>
      <c r="ENS92" s="24"/>
      <c r="ENT92" s="24"/>
      <c r="ENU92" s="24"/>
      <c r="ENV92" s="24"/>
      <c r="ENW92" s="24"/>
      <c r="ENX92" s="24"/>
      <c r="ENY92" s="24"/>
      <c r="ENZ92" s="24"/>
      <c r="EOA92" s="24"/>
      <c r="EOB92" s="24"/>
      <c r="EOC92" s="24"/>
      <c r="EOD92" s="24"/>
      <c r="EOE92" s="24"/>
      <c r="EOF92" s="24"/>
      <c r="EOG92" s="24"/>
      <c r="EOH92" s="24"/>
      <c r="EOI92" s="24"/>
      <c r="EOJ92" s="24"/>
      <c r="EOK92" s="24"/>
      <c r="EOL92" s="24"/>
      <c r="EOM92" s="24"/>
      <c r="EON92" s="24"/>
      <c r="EOO92" s="24"/>
      <c r="EOP92" s="24"/>
      <c r="EOQ92" s="24"/>
      <c r="EOR92" s="24"/>
      <c r="EOS92" s="24"/>
      <c r="EOT92" s="24"/>
      <c r="EOU92" s="24"/>
      <c r="EOV92" s="24"/>
      <c r="EOW92" s="24"/>
      <c r="EOX92" s="24"/>
      <c r="EOY92" s="24"/>
      <c r="EOZ92" s="24"/>
      <c r="EPA92" s="24"/>
      <c r="EPB92" s="24"/>
      <c r="EPC92" s="24"/>
      <c r="EPD92" s="24"/>
      <c r="EPE92" s="24"/>
      <c r="EPF92" s="24"/>
      <c r="EPG92" s="24"/>
      <c r="EPH92" s="24"/>
      <c r="EPI92" s="24"/>
      <c r="EPJ92" s="24"/>
      <c r="EPK92" s="24"/>
      <c r="EPL92" s="24"/>
      <c r="EPM92" s="24"/>
      <c r="EPN92" s="24"/>
      <c r="EPO92" s="24"/>
      <c r="EPP92" s="24"/>
      <c r="EPQ92" s="24"/>
      <c r="EPR92" s="24"/>
      <c r="EPS92" s="24"/>
      <c r="EPT92" s="24"/>
      <c r="EPU92" s="24"/>
      <c r="EPV92" s="24"/>
      <c r="EPW92" s="24"/>
      <c r="EPX92" s="24"/>
      <c r="EPY92" s="24"/>
      <c r="EPZ92" s="24"/>
      <c r="EQA92" s="24"/>
      <c r="EQB92" s="24"/>
      <c r="EQC92" s="24"/>
      <c r="EQD92" s="24"/>
      <c r="EQE92" s="24"/>
      <c r="EQF92" s="24"/>
      <c r="EQG92" s="24"/>
      <c r="EQH92" s="24"/>
      <c r="EQI92" s="24"/>
      <c r="EQJ92" s="24"/>
      <c r="EQK92" s="24"/>
      <c r="EQL92" s="24"/>
      <c r="EQM92" s="24"/>
      <c r="EQN92" s="24"/>
      <c r="EQO92" s="24"/>
      <c r="EQP92" s="24"/>
      <c r="EQQ92" s="24"/>
      <c r="EQR92" s="24"/>
      <c r="EQS92" s="24"/>
      <c r="EQT92" s="24"/>
      <c r="EQU92" s="24"/>
      <c r="EQV92" s="24"/>
      <c r="EQW92" s="24"/>
      <c r="EQX92" s="24"/>
      <c r="EQY92" s="24"/>
      <c r="EQZ92" s="24"/>
      <c r="ERA92" s="24"/>
      <c r="ERB92" s="24"/>
      <c r="ERC92" s="24"/>
      <c r="ERD92" s="24"/>
      <c r="ERE92" s="24"/>
      <c r="ERF92" s="24"/>
      <c r="ERG92" s="24"/>
      <c r="ERH92" s="24"/>
      <c r="ERI92" s="24"/>
      <c r="ERJ92" s="24"/>
      <c r="ERK92" s="24"/>
      <c r="ERL92" s="24"/>
      <c r="ERM92" s="24"/>
      <c r="ERN92" s="24"/>
      <c r="ERO92" s="24"/>
      <c r="ERP92" s="24"/>
      <c r="ERQ92" s="24"/>
      <c r="ERR92" s="24"/>
      <c r="ERS92" s="24"/>
      <c r="ERT92" s="24"/>
      <c r="ERU92" s="24"/>
      <c r="ERV92" s="24"/>
      <c r="ERW92" s="24"/>
      <c r="ERX92" s="24"/>
      <c r="ERY92" s="24"/>
      <c r="ERZ92" s="24"/>
      <c r="ESA92" s="24"/>
      <c r="ESB92" s="24"/>
      <c r="ESC92" s="24"/>
      <c r="ESD92" s="24"/>
      <c r="ESE92" s="24"/>
      <c r="ESF92" s="24"/>
      <c r="ESG92" s="24"/>
      <c r="ESH92" s="24"/>
      <c r="ESI92" s="24"/>
      <c r="ESJ92" s="24"/>
      <c r="ESK92" s="24"/>
      <c r="ESL92" s="24"/>
      <c r="ESM92" s="24"/>
      <c r="ESN92" s="24"/>
      <c r="ESO92" s="24"/>
      <c r="ESP92" s="24"/>
      <c r="ESQ92" s="24"/>
      <c r="ESR92" s="24"/>
      <c r="ESS92" s="24"/>
      <c r="EST92" s="24"/>
      <c r="ESU92" s="24"/>
      <c r="ESV92" s="24"/>
      <c r="ESW92" s="24"/>
      <c r="ESX92" s="24"/>
      <c r="ESY92" s="24"/>
      <c r="ESZ92" s="24"/>
      <c r="ETA92" s="24"/>
      <c r="ETB92" s="24"/>
      <c r="ETC92" s="24"/>
      <c r="ETD92" s="24"/>
      <c r="ETE92" s="24"/>
      <c r="ETF92" s="24"/>
      <c r="ETG92" s="24"/>
      <c r="ETH92" s="24"/>
      <c r="ETI92" s="24"/>
      <c r="ETJ92" s="24"/>
      <c r="ETK92" s="24"/>
      <c r="ETL92" s="24"/>
      <c r="ETM92" s="24"/>
      <c r="ETN92" s="24"/>
      <c r="ETO92" s="24"/>
      <c r="ETP92" s="24"/>
      <c r="ETQ92" s="24"/>
      <c r="ETR92" s="24"/>
      <c r="ETS92" s="24"/>
      <c r="ETT92" s="24"/>
      <c r="ETU92" s="24"/>
      <c r="ETV92" s="24"/>
      <c r="ETW92" s="24"/>
      <c r="ETX92" s="24"/>
      <c r="ETY92" s="24"/>
      <c r="ETZ92" s="24"/>
      <c r="EUA92" s="24"/>
      <c r="EUB92" s="24"/>
      <c r="EUC92" s="24"/>
      <c r="EUD92" s="24"/>
      <c r="EUE92" s="24"/>
      <c r="EUF92" s="24"/>
      <c r="EUG92" s="24"/>
      <c r="EUH92" s="24"/>
      <c r="EUI92" s="24"/>
      <c r="EUJ92" s="24"/>
      <c r="EUK92" s="24"/>
      <c r="EUL92" s="24"/>
      <c r="EUM92" s="24"/>
      <c r="EUN92" s="24"/>
      <c r="EUO92" s="24"/>
      <c r="EUP92" s="24"/>
      <c r="EUQ92" s="24"/>
      <c r="EUR92" s="24"/>
      <c r="EUS92" s="24"/>
      <c r="EUT92" s="24"/>
      <c r="EUU92" s="24"/>
      <c r="EUV92" s="24"/>
      <c r="EUW92" s="24"/>
      <c r="EUX92" s="24"/>
      <c r="EUY92" s="24"/>
      <c r="EUZ92" s="24"/>
      <c r="EVA92" s="24"/>
      <c r="EVB92" s="24"/>
      <c r="EVC92" s="24"/>
      <c r="EVD92" s="24"/>
      <c r="EVE92" s="24"/>
      <c r="EVF92" s="24"/>
      <c r="EVG92" s="24"/>
      <c r="EVH92" s="24"/>
      <c r="EVI92" s="24"/>
      <c r="EVJ92" s="24"/>
      <c r="EVK92" s="24"/>
      <c r="EVL92" s="24"/>
      <c r="EVM92" s="24"/>
      <c r="EVN92" s="24"/>
      <c r="EVO92" s="24"/>
      <c r="EVP92" s="24"/>
      <c r="EVQ92" s="24"/>
      <c r="EVR92" s="24"/>
      <c r="EVS92" s="24"/>
      <c r="EVT92" s="24"/>
      <c r="EVU92" s="24"/>
      <c r="EVV92" s="24"/>
      <c r="EVW92" s="24"/>
      <c r="EVX92" s="24"/>
      <c r="EVY92" s="24"/>
      <c r="EVZ92" s="24"/>
      <c r="EWA92" s="24"/>
      <c r="EWB92" s="24"/>
      <c r="EWC92" s="24"/>
      <c r="EWD92" s="24"/>
      <c r="EWE92" s="24"/>
      <c r="EWF92" s="24"/>
      <c r="EWG92" s="24"/>
      <c r="EWH92" s="24"/>
      <c r="EWI92" s="24"/>
      <c r="EWJ92" s="24"/>
      <c r="EWK92" s="24"/>
      <c r="EWL92" s="24"/>
      <c r="EWM92" s="24"/>
      <c r="EWN92" s="24"/>
      <c r="EWO92" s="24"/>
      <c r="EWP92" s="24"/>
      <c r="EWQ92" s="24"/>
      <c r="EWR92" s="24"/>
      <c r="EWS92" s="24"/>
      <c r="EWT92" s="24"/>
      <c r="EWU92" s="24"/>
      <c r="EWV92" s="24"/>
      <c r="EWW92" s="24"/>
      <c r="EWX92" s="24"/>
      <c r="EWY92" s="24"/>
      <c r="EWZ92" s="24"/>
      <c r="EXA92" s="24"/>
      <c r="EXB92" s="24"/>
      <c r="EXC92" s="24"/>
      <c r="EXD92" s="24"/>
      <c r="EXE92" s="24"/>
      <c r="EXF92" s="24"/>
      <c r="EXG92" s="24"/>
      <c r="EXH92" s="24"/>
      <c r="EXI92" s="24"/>
      <c r="EXJ92" s="24"/>
      <c r="EXK92" s="24"/>
      <c r="EXL92" s="24"/>
      <c r="EXM92" s="24"/>
      <c r="EXN92" s="24"/>
      <c r="EXO92" s="24"/>
      <c r="EXP92" s="24"/>
      <c r="EXQ92" s="24"/>
      <c r="EXR92" s="24"/>
      <c r="EXS92" s="24"/>
      <c r="EXT92" s="24"/>
      <c r="EXU92" s="24"/>
      <c r="EXV92" s="24"/>
      <c r="EXW92" s="24"/>
      <c r="EXX92" s="24"/>
      <c r="EXY92" s="24"/>
      <c r="EXZ92" s="24"/>
      <c r="EYA92" s="24"/>
      <c r="EYB92" s="24"/>
      <c r="EYC92" s="24"/>
      <c r="EYD92" s="24"/>
      <c r="EYE92" s="24"/>
      <c r="EYF92" s="24"/>
      <c r="EYG92" s="24"/>
      <c r="EYH92" s="24"/>
      <c r="EYI92" s="24"/>
      <c r="EYJ92" s="24"/>
      <c r="EYK92" s="24"/>
      <c r="EYL92" s="24"/>
      <c r="EYM92" s="24"/>
      <c r="EYN92" s="24"/>
      <c r="EYO92" s="24"/>
      <c r="EYP92" s="24"/>
      <c r="EYQ92" s="24"/>
      <c r="EYR92" s="24"/>
      <c r="EYS92" s="24"/>
      <c r="EYT92" s="24"/>
      <c r="EYU92" s="24"/>
      <c r="EYV92" s="24"/>
      <c r="EYW92" s="24"/>
      <c r="EYX92" s="24"/>
      <c r="EYY92" s="24"/>
      <c r="EYZ92" s="24"/>
      <c r="EZA92" s="24"/>
      <c r="EZB92" s="24"/>
      <c r="EZC92" s="24"/>
      <c r="EZD92" s="24"/>
      <c r="EZE92" s="24"/>
      <c r="EZF92" s="24"/>
      <c r="EZG92" s="24"/>
      <c r="EZH92" s="24"/>
      <c r="EZI92" s="24"/>
      <c r="EZJ92" s="24"/>
      <c r="EZK92" s="24"/>
      <c r="EZL92" s="24"/>
      <c r="EZM92" s="24"/>
      <c r="EZN92" s="24"/>
      <c r="EZO92" s="24"/>
      <c r="EZP92" s="24"/>
      <c r="EZQ92" s="24"/>
      <c r="EZR92" s="24"/>
      <c r="EZS92" s="24"/>
      <c r="EZT92" s="24"/>
      <c r="EZU92" s="24"/>
      <c r="EZV92" s="24"/>
      <c r="EZW92" s="24"/>
      <c r="EZX92" s="24"/>
      <c r="EZY92" s="24"/>
      <c r="EZZ92" s="24"/>
      <c r="FAA92" s="24"/>
      <c r="FAB92" s="24"/>
      <c r="FAC92" s="24"/>
      <c r="FAD92" s="24"/>
      <c r="FAE92" s="24"/>
      <c r="FAF92" s="24"/>
      <c r="FAG92" s="24"/>
      <c r="FAH92" s="24"/>
      <c r="FAI92" s="24"/>
      <c r="FAJ92" s="24"/>
      <c r="FAK92" s="24"/>
      <c r="FAL92" s="24"/>
      <c r="FAM92" s="24"/>
      <c r="FAN92" s="24"/>
      <c r="FAO92" s="24"/>
      <c r="FAP92" s="24"/>
      <c r="FAQ92" s="24"/>
      <c r="FAR92" s="24"/>
      <c r="FAS92" s="24"/>
      <c r="FAT92" s="24"/>
      <c r="FAU92" s="24"/>
      <c r="FAV92" s="24"/>
      <c r="FAW92" s="24"/>
      <c r="FAX92" s="24"/>
      <c r="FAY92" s="24"/>
      <c r="FAZ92" s="24"/>
      <c r="FBA92" s="24"/>
      <c r="FBB92" s="24"/>
      <c r="FBC92" s="24"/>
      <c r="FBD92" s="24"/>
      <c r="FBE92" s="24"/>
      <c r="FBF92" s="24"/>
      <c r="FBG92" s="24"/>
      <c r="FBH92" s="24"/>
      <c r="FBI92" s="24"/>
      <c r="FBJ92" s="24"/>
      <c r="FBK92" s="24"/>
      <c r="FBL92" s="24"/>
      <c r="FBM92" s="24"/>
      <c r="FBN92" s="24"/>
      <c r="FBO92" s="24"/>
      <c r="FBP92" s="24"/>
      <c r="FBQ92" s="24"/>
      <c r="FBR92" s="24"/>
      <c r="FBS92" s="24"/>
      <c r="FBT92" s="24"/>
      <c r="FBU92" s="24"/>
      <c r="FBV92" s="24"/>
      <c r="FBW92" s="24"/>
      <c r="FBX92" s="24"/>
      <c r="FBY92" s="24"/>
      <c r="FBZ92" s="24"/>
      <c r="FCA92" s="24"/>
      <c r="FCB92" s="24"/>
      <c r="FCC92" s="24"/>
      <c r="FCD92" s="24"/>
      <c r="FCE92" s="24"/>
      <c r="FCF92" s="24"/>
      <c r="FCG92" s="24"/>
      <c r="FCH92" s="24"/>
      <c r="FCI92" s="24"/>
      <c r="FCJ92" s="24"/>
      <c r="FCK92" s="24"/>
      <c r="FCL92" s="24"/>
      <c r="FCM92" s="24"/>
      <c r="FCN92" s="24"/>
      <c r="FCO92" s="24"/>
      <c r="FCP92" s="24"/>
      <c r="FCQ92" s="24"/>
      <c r="FCR92" s="24"/>
      <c r="FCS92" s="24"/>
      <c r="FCT92" s="24"/>
      <c r="FCU92" s="24"/>
      <c r="FCV92" s="24"/>
      <c r="FCW92" s="24"/>
      <c r="FCX92" s="24"/>
      <c r="FCY92" s="24"/>
      <c r="FCZ92" s="24"/>
      <c r="FDA92" s="24"/>
      <c r="FDB92" s="24"/>
      <c r="FDC92" s="24"/>
      <c r="FDD92" s="24"/>
      <c r="FDE92" s="24"/>
      <c r="FDF92" s="24"/>
      <c r="FDG92" s="24"/>
      <c r="FDH92" s="24"/>
      <c r="FDI92" s="24"/>
      <c r="FDJ92" s="24"/>
      <c r="FDK92" s="24"/>
      <c r="FDL92" s="24"/>
      <c r="FDM92" s="24"/>
      <c r="FDN92" s="24"/>
      <c r="FDO92" s="24"/>
      <c r="FDP92" s="24"/>
      <c r="FDQ92" s="24"/>
      <c r="FDR92" s="24"/>
      <c r="FDS92" s="24"/>
      <c r="FDT92" s="24"/>
      <c r="FDU92" s="24"/>
      <c r="FDV92" s="24"/>
      <c r="FDW92" s="24"/>
      <c r="FDX92" s="24"/>
      <c r="FDY92" s="24"/>
      <c r="FDZ92" s="24"/>
      <c r="FEA92" s="24"/>
      <c r="FEB92" s="24"/>
      <c r="FEC92" s="24"/>
      <c r="FED92" s="24"/>
      <c r="FEE92" s="24"/>
      <c r="FEF92" s="24"/>
      <c r="FEG92" s="24"/>
      <c r="FEH92" s="24"/>
      <c r="FEI92" s="24"/>
      <c r="FEJ92" s="24"/>
      <c r="FEK92" s="24"/>
      <c r="FEL92" s="24"/>
      <c r="FEM92" s="24"/>
      <c r="FEN92" s="24"/>
      <c r="FEO92" s="24"/>
      <c r="FEP92" s="24"/>
      <c r="FEQ92" s="24"/>
      <c r="FER92" s="24"/>
      <c r="FES92" s="24"/>
      <c r="FET92" s="24"/>
      <c r="FEU92" s="24"/>
      <c r="FEV92" s="24"/>
      <c r="FEW92" s="24"/>
      <c r="FEX92" s="24"/>
      <c r="FEY92" s="24"/>
      <c r="FEZ92" s="24"/>
      <c r="FFA92" s="24"/>
      <c r="FFB92" s="24"/>
      <c r="FFC92" s="24"/>
      <c r="FFD92" s="24"/>
      <c r="FFE92" s="24"/>
      <c r="FFF92" s="24"/>
      <c r="FFG92" s="24"/>
      <c r="FFH92" s="24"/>
      <c r="FFI92" s="24"/>
      <c r="FFJ92" s="24"/>
      <c r="FFK92" s="24"/>
      <c r="FFL92" s="24"/>
      <c r="FFM92" s="24"/>
      <c r="FFN92" s="24"/>
      <c r="FFO92" s="24"/>
      <c r="FFP92" s="24"/>
      <c r="FFQ92" s="24"/>
      <c r="FFR92" s="24"/>
      <c r="FFS92" s="24"/>
      <c r="FFT92" s="24"/>
      <c r="FFU92" s="24"/>
      <c r="FFV92" s="24"/>
      <c r="FFW92" s="24"/>
      <c r="FFX92" s="24"/>
      <c r="FFY92" s="24"/>
      <c r="FFZ92" s="24"/>
      <c r="FGA92" s="24"/>
      <c r="FGB92" s="24"/>
      <c r="FGC92" s="24"/>
      <c r="FGD92" s="24"/>
      <c r="FGE92" s="24"/>
      <c r="FGF92" s="24"/>
      <c r="FGG92" s="24"/>
      <c r="FGH92" s="24"/>
      <c r="FGI92" s="24"/>
      <c r="FGJ92" s="24"/>
      <c r="FGK92" s="24"/>
      <c r="FGL92" s="24"/>
      <c r="FGM92" s="24"/>
      <c r="FGN92" s="24"/>
      <c r="FGO92" s="24"/>
      <c r="FGP92" s="24"/>
      <c r="FGQ92" s="24"/>
      <c r="FGR92" s="24"/>
      <c r="FGS92" s="24"/>
      <c r="FGT92" s="24"/>
      <c r="FGU92" s="24"/>
      <c r="FGV92" s="24"/>
      <c r="FGW92" s="24"/>
      <c r="FGX92" s="24"/>
      <c r="FGY92" s="24"/>
      <c r="FGZ92" s="24"/>
      <c r="FHA92" s="24"/>
      <c r="FHB92" s="24"/>
      <c r="FHC92" s="24"/>
      <c r="FHD92" s="24"/>
      <c r="FHE92" s="24"/>
      <c r="FHF92" s="24"/>
      <c r="FHG92" s="24"/>
      <c r="FHH92" s="24"/>
      <c r="FHI92" s="24"/>
      <c r="FHJ92" s="24"/>
      <c r="FHK92" s="24"/>
      <c r="FHL92" s="24"/>
      <c r="FHM92" s="24"/>
      <c r="FHN92" s="24"/>
      <c r="FHO92" s="24"/>
      <c r="FHP92" s="24"/>
      <c r="FHQ92" s="24"/>
      <c r="FHR92" s="24"/>
      <c r="FHS92" s="24"/>
      <c r="FHT92" s="24"/>
      <c r="FHU92" s="24"/>
      <c r="FHV92" s="24"/>
      <c r="FHW92" s="24"/>
      <c r="FHX92" s="24"/>
      <c r="FHY92" s="24"/>
      <c r="FHZ92" s="24"/>
      <c r="FIA92" s="24"/>
      <c r="FIB92" s="24"/>
      <c r="FIC92" s="24"/>
      <c r="FID92" s="24"/>
      <c r="FIE92" s="24"/>
      <c r="FIF92" s="24"/>
      <c r="FIG92" s="24"/>
      <c r="FIH92" s="24"/>
      <c r="FII92" s="24"/>
      <c r="FIJ92" s="24"/>
      <c r="FIK92" s="24"/>
      <c r="FIL92" s="24"/>
      <c r="FIM92" s="24"/>
      <c r="FIN92" s="24"/>
      <c r="FIO92" s="24"/>
      <c r="FIP92" s="24"/>
      <c r="FIQ92" s="24"/>
      <c r="FIR92" s="24"/>
      <c r="FIS92" s="24"/>
      <c r="FIT92" s="24"/>
      <c r="FIU92" s="24"/>
      <c r="FIV92" s="24"/>
      <c r="FIW92" s="24"/>
      <c r="FIX92" s="24"/>
      <c r="FIY92" s="24"/>
      <c r="FIZ92" s="24"/>
      <c r="FJA92" s="24"/>
      <c r="FJB92" s="24"/>
      <c r="FJC92" s="24"/>
      <c r="FJD92" s="24"/>
      <c r="FJE92" s="24"/>
      <c r="FJF92" s="24"/>
      <c r="FJG92" s="24"/>
      <c r="FJH92" s="24"/>
      <c r="FJI92" s="24"/>
      <c r="FJJ92" s="24"/>
      <c r="FJK92" s="24"/>
      <c r="FJL92" s="24"/>
      <c r="FJM92" s="24"/>
      <c r="FJN92" s="24"/>
      <c r="FJO92" s="24"/>
      <c r="FJP92" s="24"/>
      <c r="FJQ92" s="24"/>
      <c r="FJR92" s="24"/>
      <c r="FJS92" s="24"/>
      <c r="FJT92" s="24"/>
      <c r="FJU92" s="24"/>
      <c r="FJV92" s="24"/>
      <c r="FJW92" s="24"/>
      <c r="FJX92" s="24"/>
      <c r="FJY92" s="24"/>
      <c r="FJZ92" s="24"/>
      <c r="FKA92" s="24"/>
      <c r="FKB92" s="24"/>
      <c r="FKC92" s="24"/>
      <c r="FKD92" s="24"/>
      <c r="FKE92" s="24"/>
      <c r="FKF92" s="24"/>
      <c r="FKG92" s="24"/>
      <c r="FKH92" s="24"/>
      <c r="FKI92" s="24"/>
      <c r="FKJ92" s="24"/>
      <c r="FKK92" s="24"/>
      <c r="FKL92" s="24"/>
      <c r="FKM92" s="24"/>
      <c r="FKN92" s="24"/>
      <c r="FKO92" s="24"/>
      <c r="FKP92" s="24"/>
      <c r="FKQ92" s="24"/>
      <c r="FKR92" s="24"/>
      <c r="FKS92" s="24"/>
      <c r="FKT92" s="24"/>
      <c r="FKU92" s="24"/>
      <c r="FKV92" s="24"/>
      <c r="FKW92" s="24"/>
      <c r="FKX92" s="24"/>
      <c r="FKY92" s="24"/>
      <c r="FKZ92" s="24"/>
      <c r="FLA92" s="24"/>
      <c r="FLB92" s="24"/>
      <c r="FLC92" s="24"/>
      <c r="FLD92" s="24"/>
      <c r="FLE92" s="24"/>
      <c r="FLF92" s="24"/>
      <c r="FLG92" s="24"/>
      <c r="FLH92" s="24"/>
      <c r="FLI92" s="24"/>
      <c r="FLJ92" s="24"/>
      <c r="FLK92" s="24"/>
      <c r="FLL92" s="24"/>
      <c r="FLM92" s="24"/>
      <c r="FLN92" s="24"/>
      <c r="FLO92" s="24"/>
      <c r="FLP92" s="24"/>
      <c r="FLQ92" s="24"/>
      <c r="FLR92" s="24"/>
      <c r="FLS92" s="24"/>
      <c r="FLT92" s="24"/>
      <c r="FLU92" s="24"/>
      <c r="FLV92" s="24"/>
      <c r="FLW92" s="24"/>
      <c r="FLX92" s="24"/>
      <c r="FLY92" s="24"/>
      <c r="FLZ92" s="24"/>
      <c r="FMA92" s="24"/>
      <c r="FMB92" s="24"/>
      <c r="FMC92" s="24"/>
      <c r="FMD92" s="24"/>
      <c r="FME92" s="24"/>
      <c r="FMF92" s="24"/>
      <c r="FMG92" s="24"/>
      <c r="FMH92" s="24"/>
      <c r="FMI92" s="24"/>
      <c r="FMJ92" s="24"/>
      <c r="FMK92" s="24"/>
      <c r="FML92" s="24"/>
      <c r="FMM92" s="24"/>
      <c r="FMN92" s="24"/>
      <c r="FMO92" s="24"/>
      <c r="FMP92" s="24"/>
      <c r="FMQ92" s="24"/>
      <c r="FMR92" s="24"/>
      <c r="FMS92" s="24"/>
      <c r="FMT92" s="24"/>
      <c r="FMU92" s="24"/>
      <c r="FMV92" s="24"/>
      <c r="FMW92" s="24"/>
      <c r="FMX92" s="24"/>
      <c r="FMY92" s="24"/>
      <c r="FMZ92" s="24"/>
      <c r="FNA92" s="24"/>
      <c r="FNB92" s="24"/>
      <c r="FNC92" s="24"/>
      <c r="FND92" s="24"/>
      <c r="FNE92" s="24"/>
      <c r="FNF92" s="24"/>
      <c r="FNG92" s="24"/>
      <c r="FNH92" s="24"/>
      <c r="FNI92" s="24"/>
      <c r="FNJ92" s="24"/>
      <c r="FNK92" s="24"/>
      <c r="FNL92" s="24"/>
      <c r="FNM92" s="24"/>
      <c r="FNN92" s="24"/>
      <c r="FNO92" s="24"/>
      <c r="FNP92" s="24"/>
      <c r="FNQ92" s="24"/>
      <c r="FNR92" s="24"/>
      <c r="FNS92" s="24"/>
      <c r="FNT92" s="24"/>
      <c r="FNU92" s="24"/>
      <c r="FNV92" s="24"/>
      <c r="FNW92" s="24"/>
      <c r="FNX92" s="24"/>
      <c r="FNY92" s="24"/>
      <c r="FNZ92" s="24"/>
      <c r="FOA92" s="24"/>
      <c r="FOB92" s="24"/>
      <c r="FOC92" s="24"/>
      <c r="FOD92" s="24"/>
      <c r="FOE92" s="24"/>
      <c r="FOF92" s="24"/>
      <c r="FOG92" s="24"/>
      <c r="FOH92" s="24"/>
      <c r="FOI92" s="24"/>
      <c r="FOJ92" s="24"/>
      <c r="FOK92" s="24"/>
      <c r="FOL92" s="24"/>
      <c r="FOM92" s="24"/>
      <c r="FON92" s="24"/>
      <c r="FOO92" s="24"/>
      <c r="FOP92" s="24"/>
      <c r="FOQ92" s="24"/>
      <c r="FOR92" s="24"/>
      <c r="FOS92" s="24"/>
      <c r="FOT92" s="24"/>
      <c r="FOU92" s="24"/>
      <c r="FOV92" s="24"/>
      <c r="FOW92" s="24"/>
      <c r="FOX92" s="24"/>
      <c r="FOY92" s="24"/>
      <c r="FOZ92" s="24"/>
      <c r="FPA92" s="24"/>
      <c r="FPB92" s="24"/>
      <c r="FPC92" s="24"/>
      <c r="FPD92" s="24"/>
      <c r="FPE92" s="24"/>
      <c r="FPF92" s="24"/>
      <c r="FPG92" s="24"/>
      <c r="FPH92" s="24"/>
      <c r="FPI92" s="24"/>
      <c r="FPJ92" s="24"/>
      <c r="FPK92" s="24"/>
      <c r="FPL92" s="24"/>
      <c r="FPM92" s="24"/>
      <c r="FPN92" s="24"/>
      <c r="FPO92" s="24"/>
      <c r="FPP92" s="24"/>
      <c r="FPQ92" s="24"/>
      <c r="FPR92" s="24"/>
      <c r="FPS92" s="24"/>
      <c r="FPT92" s="24"/>
      <c r="FPU92" s="24"/>
      <c r="FPV92" s="24"/>
      <c r="FPW92" s="24"/>
      <c r="FPX92" s="24"/>
      <c r="FPY92" s="24"/>
      <c r="FPZ92" s="24"/>
      <c r="FQA92" s="24"/>
      <c r="FQB92" s="24"/>
      <c r="FQC92" s="24"/>
      <c r="FQD92" s="24"/>
      <c r="FQE92" s="24"/>
      <c r="FQF92" s="24"/>
      <c r="FQG92" s="24"/>
      <c r="FQH92" s="24"/>
      <c r="FQI92" s="24"/>
      <c r="FQJ92" s="24"/>
      <c r="FQK92" s="24"/>
      <c r="FQL92" s="24"/>
      <c r="FQM92" s="24"/>
      <c r="FQN92" s="24"/>
      <c r="FQO92" s="24"/>
      <c r="FQP92" s="24"/>
      <c r="FQQ92" s="24"/>
      <c r="FQR92" s="24"/>
      <c r="FQS92" s="24"/>
      <c r="FQT92" s="24"/>
      <c r="FQU92" s="24"/>
      <c r="FQV92" s="24"/>
      <c r="FQW92" s="24"/>
      <c r="FQX92" s="24"/>
      <c r="FQY92" s="24"/>
      <c r="FQZ92" s="24"/>
      <c r="FRA92" s="24"/>
      <c r="FRB92" s="24"/>
      <c r="FRC92" s="24"/>
      <c r="FRD92" s="24"/>
      <c r="FRE92" s="24"/>
      <c r="FRF92" s="24"/>
      <c r="FRG92" s="24"/>
      <c r="FRH92" s="24"/>
      <c r="FRI92" s="24"/>
      <c r="FRJ92" s="24"/>
      <c r="FRK92" s="24"/>
      <c r="FRL92" s="24"/>
      <c r="FRM92" s="24"/>
      <c r="FRN92" s="24"/>
      <c r="FRO92" s="24"/>
      <c r="FRP92" s="24"/>
      <c r="FRQ92" s="24"/>
      <c r="FRR92" s="24"/>
      <c r="FRS92" s="24"/>
      <c r="FRT92" s="24"/>
      <c r="FRU92" s="24"/>
      <c r="FRV92" s="24"/>
      <c r="FRW92" s="24"/>
      <c r="FRX92" s="24"/>
      <c r="FRY92" s="24"/>
      <c r="FRZ92" s="24"/>
      <c r="FSA92" s="24"/>
      <c r="FSB92" s="24"/>
      <c r="FSC92" s="24"/>
      <c r="FSD92" s="24"/>
      <c r="FSE92" s="24"/>
      <c r="FSF92" s="24"/>
      <c r="FSG92" s="24"/>
      <c r="FSH92" s="24"/>
      <c r="FSI92" s="24"/>
      <c r="FSJ92" s="24"/>
      <c r="FSK92" s="24"/>
      <c r="FSL92" s="24"/>
      <c r="FSM92" s="24"/>
      <c r="FSN92" s="24"/>
      <c r="FSO92" s="24"/>
      <c r="FSP92" s="24"/>
      <c r="FSQ92" s="24"/>
      <c r="FSR92" s="24"/>
      <c r="FSS92" s="24"/>
      <c r="FST92" s="24"/>
      <c r="FSU92" s="24"/>
      <c r="FSV92" s="24"/>
      <c r="FSW92" s="24"/>
      <c r="FSX92" s="24"/>
      <c r="FSY92" s="24"/>
      <c r="FSZ92" s="24"/>
      <c r="FTA92" s="24"/>
      <c r="FTB92" s="24"/>
      <c r="FTC92" s="24"/>
      <c r="FTD92" s="24"/>
      <c r="FTE92" s="24"/>
      <c r="FTF92" s="24"/>
      <c r="FTG92" s="24"/>
      <c r="FTH92" s="24"/>
      <c r="FTI92" s="24"/>
      <c r="FTJ92" s="24"/>
      <c r="FTK92" s="24"/>
      <c r="FTL92" s="24"/>
      <c r="FTM92" s="24"/>
      <c r="FTN92" s="24"/>
      <c r="FTO92" s="24"/>
      <c r="FTP92" s="24"/>
      <c r="FTQ92" s="24"/>
      <c r="FTR92" s="24"/>
      <c r="FTS92" s="24"/>
      <c r="FTT92" s="24"/>
      <c r="FTU92" s="24"/>
      <c r="FTV92" s="24"/>
      <c r="FTW92" s="24"/>
      <c r="FTX92" s="24"/>
      <c r="FTY92" s="24"/>
      <c r="FTZ92" s="24"/>
      <c r="FUA92" s="24"/>
      <c r="FUB92" s="24"/>
      <c r="FUC92" s="24"/>
      <c r="FUD92" s="24"/>
      <c r="FUE92" s="24"/>
      <c r="FUF92" s="24"/>
      <c r="FUG92" s="24"/>
      <c r="FUH92" s="24"/>
      <c r="FUI92" s="24"/>
      <c r="FUJ92" s="24"/>
      <c r="FUK92" s="24"/>
      <c r="FUL92" s="24"/>
      <c r="FUM92" s="24"/>
      <c r="FUN92" s="24"/>
      <c r="FUO92" s="24"/>
      <c r="FUP92" s="24"/>
      <c r="FUQ92" s="24"/>
      <c r="FUR92" s="24"/>
      <c r="FUS92" s="24"/>
      <c r="FUT92" s="24"/>
      <c r="FUU92" s="24"/>
      <c r="FUV92" s="24"/>
      <c r="FUW92" s="24"/>
      <c r="FUX92" s="24"/>
      <c r="FUY92" s="24"/>
      <c r="FUZ92" s="24"/>
      <c r="FVA92" s="24"/>
      <c r="FVB92" s="24"/>
      <c r="FVC92" s="24"/>
      <c r="FVD92" s="24"/>
      <c r="FVE92" s="24"/>
      <c r="FVF92" s="24"/>
      <c r="FVG92" s="24"/>
      <c r="FVH92" s="24"/>
      <c r="FVI92" s="24"/>
      <c r="FVJ92" s="24"/>
      <c r="FVK92" s="24"/>
      <c r="FVL92" s="24"/>
      <c r="FVM92" s="24"/>
      <c r="FVN92" s="24"/>
      <c r="FVO92" s="24"/>
      <c r="FVP92" s="24"/>
      <c r="FVQ92" s="24"/>
      <c r="FVR92" s="24"/>
      <c r="FVS92" s="24"/>
      <c r="FVT92" s="24"/>
      <c r="FVU92" s="24"/>
      <c r="FVV92" s="24"/>
      <c r="FVW92" s="24"/>
      <c r="FVX92" s="24"/>
      <c r="FVY92" s="24"/>
      <c r="FVZ92" s="24"/>
      <c r="FWA92" s="24"/>
      <c r="FWB92" s="24"/>
      <c r="FWC92" s="24"/>
      <c r="FWD92" s="24"/>
      <c r="FWE92" s="24"/>
      <c r="FWF92" s="24"/>
      <c r="FWG92" s="24"/>
      <c r="FWH92" s="24"/>
      <c r="FWI92" s="24"/>
      <c r="FWJ92" s="24"/>
      <c r="FWK92" s="24"/>
      <c r="FWL92" s="24"/>
      <c r="FWM92" s="24"/>
      <c r="FWN92" s="24"/>
      <c r="FWO92" s="24"/>
      <c r="FWP92" s="24"/>
      <c r="FWQ92" s="24"/>
      <c r="FWR92" s="24"/>
      <c r="FWS92" s="24"/>
      <c r="FWT92" s="24"/>
      <c r="FWU92" s="24"/>
      <c r="FWV92" s="24"/>
      <c r="FWW92" s="24"/>
      <c r="FWX92" s="24"/>
      <c r="FWY92" s="24"/>
      <c r="FWZ92" s="24"/>
      <c r="FXA92" s="24"/>
      <c r="FXB92" s="24"/>
      <c r="FXC92" s="24"/>
      <c r="FXD92" s="24"/>
      <c r="FXE92" s="24"/>
      <c r="FXF92" s="24"/>
      <c r="FXG92" s="24"/>
      <c r="FXH92" s="24"/>
      <c r="FXI92" s="24"/>
      <c r="FXJ92" s="24"/>
      <c r="FXK92" s="24"/>
      <c r="FXL92" s="24"/>
      <c r="FXM92" s="24"/>
      <c r="FXN92" s="24"/>
      <c r="FXO92" s="24"/>
      <c r="FXP92" s="24"/>
      <c r="FXQ92" s="24"/>
      <c r="FXR92" s="24"/>
      <c r="FXS92" s="24"/>
      <c r="FXT92" s="24"/>
      <c r="FXU92" s="24"/>
      <c r="FXV92" s="24"/>
      <c r="FXW92" s="24"/>
      <c r="FXX92" s="24"/>
      <c r="FXY92" s="24"/>
      <c r="FXZ92" s="24"/>
      <c r="FYA92" s="24"/>
      <c r="FYB92" s="24"/>
      <c r="FYC92" s="24"/>
      <c r="FYD92" s="24"/>
      <c r="FYE92" s="24"/>
      <c r="FYF92" s="24"/>
      <c r="FYG92" s="24"/>
      <c r="FYH92" s="24"/>
      <c r="FYI92" s="24"/>
      <c r="FYJ92" s="24"/>
      <c r="FYK92" s="24"/>
      <c r="FYL92" s="24"/>
      <c r="FYM92" s="24"/>
      <c r="FYN92" s="24"/>
      <c r="FYO92" s="24"/>
      <c r="FYP92" s="24"/>
      <c r="FYQ92" s="24"/>
      <c r="FYR92" s="24"/>
      <c r="FYS92" s="24"/>
      <c r="FYT92" s="24"/>
      <c r="FYU92" s="24"/>
      <c r="FYV92" s="24"/>
      <c r="FYW92" s="24"/>
      <c r="FYX92" s="24"/>
      <c r="FYY92" s="24"/>
      <c r="FYZ92" s="24"/>
      <c r="FZA92" s="24"/>
      <c r="FZB92" s="24"/>
      <c r="FZC92" s="24"/>
      <c r="FZD92" s="24"/>
      <c r="FZE92" s="24"/>
      <c r="FZF92" s="24"/>
      <c r="FZG92" s="24"/>
      <c r="FZH92" s="24"/>
      <c r="FZI92" s="24"/>
      <c r="FZJ92" s="24"/>
      <c r="FZK92" s="24"/>
      <c r="FZL92" s="24"/>
      <c r="FZM92" s="24"/>
      <c r="FZN92" s="24"/>
      <c r="FZO92" s="24"/>
      <c r="FZP92" s="24"/>
      <c r="FZQ92" s="24"/>
      <c r="FZR92" s="24"/>
      <c r="FZS92" s="24"/>
      <c r="FZT92" s="24"/>
      <c r="FZU92" s="24"/>
      <c r="FZV92" s="24"/>
      <c r="FZW92" s="24"/>
      <c r="FZX92" s="24"/>
      <c r="FZY92" s="24"/>
      <c r="FZZ92" s="24"/>
      <c r="GAA92" s="24"/>
      <c r="GAB92" s="24"/>
      <c r="GAC92" s="24"/>
      <c r="GAD92" s="24"/>
      <c r="GAE92" s="24"/>
      <c r="GAF92" s="24"/>
      <c r="GAG92" s="24"/>
      <c r="GAH92" s="24"/>
      <c r="GAI92" s="24"/>
      <c r="GAJ92" s="24"/>
      <c r="GAK92" s="24"/>
      <c r="GAL92" s="24"/>
      <c r="GAM92" s="24"/>
      <c r="GAN92" s="24"/>
      <c r="GAO92" s="24"/>
      <c r="GAP92" s="24"/>
      <c r="GAQ92" s="24"/>
      <c r="GAR92" s="24"/>
      <c r="GAS92" s="24"/>
      <c r="GAT92" s="24"/>
      <c r="GAU92" s="24"/>
      <c r="GAV92" s="24"/>
      <c r="GAW92" s="24"/>
      <c r="GAX92" s="24"/>
      <c r="GAY92" s="24"/>
      <c r="GAZ92" s="24"/>
      <c r="GBA92" s="24"/>
      <c r="GBB92" s="24"/>
      <c r="GBC92" s="24"/>
      <c r="GBD92" s="24"/>
      <c r="GBE92" s="24"/>
      <c r="GBF92" s="24"/>
      <c r="GBG92" s="24"/>
      <c r="GBH92" s="24"/>
      <c r="GBI92" s="24"/>
      <c r="GBJ92" s="24"/>
      <c r="GBK92" s="24"/>
      <c r="GBL92" s="24"/>
      <c r="GBM92" s="24"/>
      <c r="GBN92" s="24"/>
      <c r="GBO92" s="24"/>
      <c r="GBP92" s="24"/>
      <c r="GBQ92" s="24"/>
      <c r="GBR92" s="24"/>
      <c r="GBS92" s="24"/>
      <c r="GBT92" s="24"/>
      <c r="GBU92" s="24"/>
      <c r="GBV92" s="24"/>
      <c r="GBW92" s="24"/>
      <c r="GBX92" s="24"/>
      <c r="GBY92" s="24"/>
      <c r="GBZ92" s="24"/>
      <c r="GCA92" s="24"/>
      <c r="GCB92" s="24"/>
      <c r="GCC92" s="24"/>
      <c r="GCD92" s="24"/>
      <c r="GCE92" s="24"/>
      <c r="GCF92" s="24"/>
      <c r="GCG92" s="24"/>
      <c r="GCH92" s="24"/>
      <c r="GCI92" s="24"/>
      <c r="GCJ92" s="24"/>
      <c r="GCK92" s="24"/>
      <c r="GCL92" s="24"/>
      <c r="GCM92" s="24"/>
      <c r="GCN92" s="24"/>
      <c r="GCO92" s="24"/>
      <c r="GCP92" s="24"/>
      <c r="GCQ92" s="24"/>
      <c r="GCR92" s="24"/>
      <c r="GCS92" s="24"/>
      <c r="GCT92" s="24"/>
      <c r="GCU92" s="24"/>
      <c r="GCV92" s="24"/>
      <c r="GCW92" s="24"/>
      <c r="GCX92" s="24"/>
      <c r="GCY92" s="24"/>
      <c r="GCZ92" s="24"/>
      <c r="GDA92" s="24"/>
      <c r="GDB92" s="24"/>
      <c r="GDC92" s="24"/>
      <c r="GDD92" s="24"/>
      <c r="GDE92" s="24"/>
      <c r="GDF92" s="24"/>
      <c r="GDG92" s="24"/>
      <c r="GDH92" s="24"/>
      <c r="GDI92" s="24"/>
      <c r="GDJ92" s="24"/>
      <c r="GDK92" s="24"/>
      <c r="GDL92" s="24"/>
      <c r="GDM92" s="24"/>
      <c r="GDN92" s="24"/>
      <c r="GDO92" s="24"/>
      <c r="GDP92" s="24"/>
      <c r="GDQ92" s="24"/>
      <c r="GDR92" s="24"/>
      <c r="GDS92" s="24"/>
      <c r="GDT92" s="24"/>
      <c r="GDU92" s="24"/>
      <c r="GDV92" s="24"/>
      <c r="GDW92" s="24"/>
      <c r="GDX92" s="24"/>
      <c r="GDY92" s="24"/>
      <c r="GDZ92" s="24"/>
      <c r="GEA92" s="24"/>
      <c r="GEB92" s="24"/>
      <c r="GEC92" s="24"/>
      <c r="GED92" s="24"/>
      <c r="GEE92" s="24"/>
      <c r="GEF92" s="24"/>
      <c r="GEG92" s="24"/>
      <c r="GEH92" s="24"/>
      <c r="GEI92" s="24"/>
      <c r="GEJ92" s="24"/>
      <c r="GEK92" s="24"/>
      <c r="GEL92" s="24"/>
      <c r="GEM92" s="24"/>
      <c r="GEN92" s="24"/>
      <c r="GEO92" s="24"/>
      <c r="GEP92" s="24"/>
      <c r="GEQ92" s="24"/>
      <c r="GER92" s="24"/>
      <c r="GES92" s="24"/>
      <c r="GET92" s="24"/>
      <c r="GEU92" s="24"/>
      <c r="GEV92" s="24"/>
      <c r="GEW92" s="24"/>
      <c r="GEX92" s="24"/>
      <c r="GEY92" s="24"/>
      <c r="GEZ92" s="24"/>
      <c r="GFA92" s="24"/>
      <c r="GFB92" s="24"/>
      <c r="GFC92" s="24"/>
      <c r="GFD92" s="24"/>
      <c r="GFE92" s="24"/>
      <c r="GFF92" s="24"/>
      <c r="GFG92" s="24"/>
      <c r="GFH92" s="24"/>
      <c r="GFI92" s="24"/>
      <c r="GFJ92" s="24"/>
      <c r="GFK92" s="24"/>
      <c r="GFL92" s="24"/>
      <c r="GFM92" s="24"/>
      <c r="GFN92" s="24"/>
      <c r="GFO92" s="24"/>
      <c r="GFP92" s="24"/>
      <c r="GFQ92" s="24"/>
      <c r="GFR92" s="24"/>
      <c r="GFS92" s="24"/>
      <c r="GFT92" s="24"/>
      <c r="GFU92" s="24"/>
      <c r="GFV92" s="24"/>
      <c r="GFW92" s="24"/>
      <c r="GFX92" s="24"/>
      <c r="GFY92" s="24"/>
      <c r="GFZ92" s="24"/>
      <c r="GGA92" s="24"/>
      <c r="GGB92" s="24"/>
      <c r="GGC92" s="24"/>
      <c r="GGD92" s="24"/>
      <c r="GGE92" s="24"/>
      <c r="GGF92" s="24"/>
      <c r="GGG92" s="24"/>
      <c r="GGH92" s="24"/>
      <c r="GGI92" s="24"/>
      <c r="GGJ92" s="24"/>
      <c r="GGK92" s="24"/>
      <c r="GGL92" s="24"/>
      <c r="GGM92" s="24"/>
      <c r="GGN92" s="24"/>
      <c r="GGO92" s="24"/>
      <c r="GGP92" s="24"/>
      <c r="GGQ92" s="24"/>
      <c r="GGR92" s="24"/>
      <c r="GGS92" s="24"/>
      <c r="GGT92" s="24"/>
      <c r="GGU92" s="24"/>
      <c r="GGV92" s="24"/>
      <c r="GGW92" s="24"/>
      <c r="GGX92" s="24"/>
      <c r="GGY92" s="24"/>
      <c r="GGZ92" s="24"/>
      <c r="GHA92" s="24"/>
      <c r="GHB92" s="24"/>
      <c r="GHC92" s="24"/>
      <c r="GHD92" s="24"/>
      <c r="GHE92" s="24"/>
      <c r="GHF92" s="24"/>
      <c r="GHG92" s="24"/>
      <c r="GHH92" s="24"/>
      <c r="GHI92" s="24"/>
      <c r="GHJ92" s="24"/>
      <c r="GHK92" s="24"/>
      <c r="GHL92" s="24"/>
      <c r="GHM92" s="24"/>
      <c r="GHN92" s="24"/>
      <c r="GHO92" s="24"/>
      <c r="GHP92" s="24"/>
      <c r="GHQ92" s="24"/>
      <c r="GHR92" s="24"/>
      <c r="GHS92" s="24"/>
      <c r="GHT92" s="24"/>
      <c r="GHU92" s="24"/>
      <c r="GHV92" s="24"/>
      <c r="GHW92" s="24"/>
      <c r="GHX92" s="24"/>
      <c r="GHY92" s="24"/>
      <c r="GHZ92" s="24"/>
      <c r="GIA92" s="24"/>
      <c r="GIB92" s="24"/>
      <c r="GIC92" s="24"/>
      <c r="GID92" s="24"/>
      <c r="GIE92" s="24"/>
      <c r="GIF92" s="24"/>
      <c r="GIG92" s="24"/>
      <c r="GIH92" s="24"/>
      <c r="GII92" s="24"/>
      <c r="GIJ92" s="24"/>
      <c r="GIK92" s="24"/>
      <c r="GIL92" s="24"/>
      <c r="GIM92" s="24"/>
      <c r="GIN92" s="24"/>
      <c r="GIO92" s="24"/>
      <c r="GIP92" s="24"/>
      <c r="GIQ92" s="24"/>
      <c r="GIR92" s="24"/>
      <c r="GIS92" s="24"/>
      <c r="GIT92" s="24"/>
      <c r="GIU92" s="24"/>
      <c r="GIV92" s="24"/>
      <c r="GIW92" s="24"/>
      <c r="GIX92" s="24"/>
      <c r="GIY92" s="24"/>
      <c r="GIZ92" s="24"/>
      <c r="GJA92" s="24"/>
      <c r="GJB92" s="24"/>
      <c r="GJC92" s="24"/>
      <c r="GJD92" s="24"/>
      <c r="GJE92" s="24"/>
      <c r="GJF92" s="24"/>
      <c r="GJG92" s="24"/>
      <c r="GJH92" s="24"/>
      <c r="GJI92" s="24"/>
      <c r="GJJ92" s="24"/>
      <c r="GJK92" s="24"/>
      <c r="GJL92" s="24"/>
      <c r="GJM92" s="24"/>
      <c r="GJN92" s="24"/>
      <c r="GJO92" s="24"/>
      <c r="GJP92" s="24"/>
      <c r="GJQ92" s="24"/>
      <c r="GJR92" s="24"/>
      <c r="GJS92" s="24"/>
      <c r="GJT92" s="24"/>
      <c r="GJU92" s="24"/>
      <c r="GJV92" s="24"/>
      <c r="GJW92" s="24"/>
      <c r="GJX92" s="24"/>
      <c r="GJY92" s="24"/>
      <c r="GJZ92" s="24"/>
      <c r="GKA92" s="24"/>
      <c r="GKB92" s="24"/>
      <c r="GKC92" s="24"/>
      <c r="GKD92" s="24"/>
      <c r="GKE92" s="24"/>
      <c r="GKF92" s="24"/>
      <c r="GKG92" s="24"/>
      <c r="GKH92" s="24"/>
      <c r="GKI92" s="24"/>
      <c r="GKJ92" s="24"/>
      <c r="GKK92" s="24"/>
      <c r="GKL92" s="24"/>
      <c r="GKM92" s="24"/>
      <c r="GKN92" s="24"/>
      <c r="GKO92" s="24"/>
      <c r="GKP92" s="24"/>
      <c r="GKQ92" s="24"/>
      <c r="GKR92" s="24"/>
      <c r="GKS92" s="24"/>
      <c r="GKT92" s="24"/>
      <c r="GKU92" s="24"/>
      <c r="GKV92" s="24"/>
      <c r="GKW92" s="24"/>
      <c r="GKX92" s="24"/>
      <c r="GKY92" s="24"/>
      <c r="GKZ92" s="24"/>
      <c r="GLA92" s="24"/>
      <c r="GLB92" s="24"/>
      <c r="GLC92" s="24"/>
      <c r="GLD92" s="24"/>
      <c r="GLE92" s="24"/>
      <c r="GLF92" s="24"/>
      <c r="GLG92" s="24"/>
      <c r="GLH92" s="24"/>
      <c r="GLI92" s="24"/>
      <c r="GLJ92" s="24"/>
      <c r="GLK92" s="24"/>
      <c r="GLL92" s="24"/>
      <c r="GLM92" s="24"/>
      <c r="GLN92" s="24"/>
      <c r="GLO92" s="24"/>
      <c r="GLP92" s="24"/>
      <c r="GLQ92" s="24"/>
      <c r="GLR92" s="24"/>
      <c r="GLS92" s="24"/>
      <c r="GLT92" s="24"/>
      <c r="GLU92" s="24"/>
      <c r="GLV92" s="24"/>
      <c r="GLW92" s="24"/>
      <c r="GLX92" s="24"/>
      <c r="GLY92" s="24"/>
      <c r="GLZ92" s="24"/>
      <c r="GMA92" s="24"/>
      <c r="GMB92" s="24"/>
      <c r="GMC92" s="24"/>
      <c r="GMD92" s="24"/>
      <c r="GME92" s="24"/>
      <c r="GMF92" s="24"/>
      <c r="GMG92" s="24"/>
      <c r="GMH92" s="24"/>
      <c r="GMI92" s="24"/>
      <c r="GMJ92" s="24"/>
      <c r="GMK92" s="24"/>
      <c r="GML92" s="24"/>
      <c r="GMM92" s="24"/>
      <c r="GMN92" s="24"/>
      <c r="GMO92" s="24"/>
      <c r="GMP92" s="24"/>
      <c r="GMQ92" s="24"/>
      <c r="GMR92" s="24"/>
      <c r="GMS92" s="24"/>
      <c r="GMT92" s="24"/>
      <c r="GMU92" s="24"/>
      <c r="GMV92" s="24"/>
      <c r="GMW92" s="24"/>
      <c r="GMX92" s="24"/>
      <c r="GMY92" s="24"/>
      <c r="GMZ92" s="24"/>
      <c r="GNA92" s="24"/>
      <c r="GNB92" s="24"/>
      <c r="GNC92" s="24"/>
      <c r="GND92" s="24"/>
      <c r="GNE92" s="24"/>
      <c r="GNF92" s="24"/>
      <c r="GNG92" s="24"/>
      <c r="GNH92" s="24"/>
      <c r="GNI92" s="24"/>
      <c r="GNJ92" s="24"/>
      <c r="GNK92" s="24"/>
      <c r="GNL92" s="24"/>
      <c r="GNM92" s="24"/>
      <c r="GNN92" s="24"/>
      <c r="GNO92" s="24"/>
      <c r="GNP92" s="24"/>
      <c r="GNQ92" s="24"/>
      <c r="GNR92" s="24"/>
      <c r="GNS92" s="24"/>
      <c r="GNT92" s="24"/>
      <c r="GNU92" s="24"/>
      <c r="GNV92" s="24"/>
      <c r="GNW92" s="24"/>
      <c r="GNX92" s="24"/>
      <c r="GNY92" s="24"/>
      <c r="GNZ92" s="24"/>
      <c r="GOA92" s="24"/>
      <c r="GOB92" s="24"/>
      <c r="GOC92" s="24"/>
      <c r="GOD92" s="24"/>
      <c r="GOE92" s="24"/>
      <c r="GOF92" s="24"/>
      <c r="GOG92" s="24"/>
      <c r="GOH92" s="24"/>
      <c r="GOI92" s="24"/>
      <c r="GOJ92" s="24"/>
      <c r="GOK92" s="24"/>
      <c r="GOL92" s="24"/>
      <c r="GOM92" s="24"/>
      <c r="GON92" s="24"/>
      <c r="GOO92" s="24"/>
      <c r="GOP92" s="24"/>
      <c r="GOQ92" s="24"/>
      <c r="GOR92" s="24"/>
      <c r="GOS92" s="24"/>
      <c r="GOT92" s="24"/>
      <c r="GOU92" s="24"/>
      <c r="GOV92" s="24"/>
      <c r="GOW92" s="24"/>
      <c r="GOX92" s="24"/>
      <c r="GOY92" s="24"/>
      <c r="GOZ92" s="24"/>
      <c r="GPA92" s="24"/>
      <c r="GPB92" s="24"/>
      <c r="GPC92" s="24"/>
      <c r="GPD92" s="24"/>
      <c r="GPE92" s="24"/>
      <c r="GPF92" s="24"/>
      <c r="GPG92" s="24"/>
      <c r="GPH92" s="24"/>
      <c r="GPI92" s="24"/>
      <c r="GPJ92" s="24"/>
      <c r="GPK92" s="24"/>
      <c r="GPL92" s="24"/>
      <c r="GPM92" s="24"/>
      <c r="GPN92" s="24"/>
      <c r="GPO92" s="24"/>
      <c r="GPP92" s="24"/>
      <c r="GPQ92" s="24"/>
      <c r="GPR92" s="24"/>
      <c r="GPS92" s="24"/>
      <c r="GPT92" s="24"/>
      <c r="GPU92" s="24"/>
      <c r="GPV92" s="24"/>
      <c r="GPW92" s="24"/>
      <c r="GPX92" s="24"/>
      <c r="GPY92" s="24"/>
      <c r="GPZ92" s="24"/>
      <c r="GQA92" s="24"/>
      <c r="GQB92" s="24"/>
      <c r="GQC92" s="24"/>
      <c r="GQD92" s="24"/>
      <c r="GQE92" s="24"/>
      <c r="GQF92" s="24"/>
      <c r="GQG92" s="24"/>
      <c r="GQH92" s="24"/>
      <c r="GQI92" s="24"/>
      <c r="GQJ92" s="24"/>
      <c r="GQK92" s="24"/>
      <c r="GQL92" s="24"/>
      <c r="GQM92" s="24"/>
      <c r="GQN92" s="24"/>
      <c r="GQO92" s="24"/>
      <c r="GQP92" s="24"/>
      <c r="GQQ92" s="24"/>
      <c r="GQR92" s="24"/>
      <c r="GQS92" s="24"/>
      <c r="GQT92" s="24"/>
      <c r="GQU92" s="24"/>
      <c r="GQV92" s="24"/>
      <c r="GQW92" s="24"/>
      <c r="GQX92" s="24"/>
      <c r="GQY92" s="24"/>
      <c r="GQZ92" s="24"/>
      <c r="GRA92" s="24"/>
      <c r="GRB92" s="24"/>
      <c r="GRC92" s="24"/>
      <c r="GRD92" s="24"/>
      <c r="GRE92" s="24"/>
      <c r="GRF92" s="24"/>
      <c r="GRG92" s="24"/>
      <c r="GRH92" s="24"/>
      <c r="GRI92" s="24"/>
      <c r="GRJ92" s="24"/>
      <c r="GRK92" s="24"/>
      <c r="GRL92" s="24"/>
      <c r="GRM92" s="24"/>
      <c r="GRN92" s="24"/>
      <c r="GRO92" s="24"/>
      <c r="GRP92" s="24"/>
      <c r="GRQ92" s="24"/>
      <c r="GRR92" s="24"/>
      <c r="GRS92" s="24"/>
      <c r="GRT92" s="24"/>
      <c r="GRU92" s="24"/>
      <c r="GRV92" s="24"/>
      <c r="GRW92" s="24"/>
      <c r="GRX92" s="24"/>
      <c r="GRY92" s="24"/>
      <c r="GRZ92" s="24"/>
      <c r="GSA92" s="24"/>
      <c r="GSB92" s="24"/>
      <c r="GSC92" s="24"/>
      <c r="GSD92" s="24"/>
      <c r="GSE92" s="24"/>
      <c r="GSF92" s="24"/>
      <c r="GSG92" s="24"/>
      <c r="GSH92" s="24"/>
      <c r="GSI92" s="24"/>
      <c r="GSJ92" s="24"/>
      <c r="GSK92" s="24"/>
      <c r="GSL92" s="24"/>
      <c r="GSM92" s="24"/>
      <c r="GSN92" s="24"/>
      <c r="GSO92" s="24"/>
      <c r="GSP92" s="24"/>
      <c r="GSQ92" s="24"/>
      <c r="GSR92" s="24"/>
      <c r="GSS92" s="24"/>
      <c r="GST92" s="24"/>
      <c r="GSU92" s="24"/>
      <c r="GSV92" s="24"/>
      <c r="GSW92" s="24"/>
      <c r="GSX92" s="24"/>
      <c r="GSY92" s="24"/>
      <c r="GSZ92" s="24"/>
      <c r="GTA92" s="24"/>
      <c r="GTB92" s="24"/>
      <c r="GTC92" s="24"/>
      <c r="GTD92" s="24"/>
      <c r="GTE92" s="24"/>
      <c r="GTF92" s="24"/>
      <c r="GTG92" s="24"/>
      <c r="GTH92" s="24"/>
      <c r="GTI92" s="24"/>
      <c r="GTJ92" s="24"/>
      <c r="GTK92" s="24"/>
      <c r="GTL92" s="24"/>
      <c r="GTM92" s="24"/>
      <c r="GTN92" s="24"/>
      <c r="GTO92" s="24"/>
      <c r="GTP92" s="24"/>
      <c r="GTQ92" s="24"/>
      <c r="GTR92" s="24"/>
      <c r="GTS92" s="24"/>
      <c r="GTT92" s="24"/>
      <c r="GTU92" s="24"/>
      <c r="GTV92" s="24"/>
      <c r="GTW92" s="24"/>
      <c r="GTX92" s="24"/>
      <c r="GTY92" s="24"/>
      <c r="GTZ92" s="24"/>
      <c r="GUA92" s="24"/>
      <c r="GUB92" s="24"/>
      <c r="GUC92" s="24"/>
      <c r="GUD92" s="24"/>
      <c r="GUE92" s="24"/>
      <c r="GUF92" s="24"/>
      <c r="GUG92" s="24"/>
      <c r="GUH92" s="24"/>
      <c r="GUI92" s="24"/>
      <c r="GUJ92" s="24"/>
      <c r="GUK92" s="24"/>
      <c r="GUL92" s="24"/>
      <c r="GUM92" s="24"/>
      <c r="GUN92" s="24"/>
      <c r="GUO92" s="24"/>
      <c r="GUP92" s="24"/>
      <c r="GUQ92" s="24"/>
      <c r="GUR92" s="24"/>
      <c r="GUS92" s="24"/>
      <c r="GUT92" s="24"/>
      <c r="GUU92" s="24"/>
      <c r="GUV92" s="24"/>
      <c r="GUW92" s="24"/>
      <c r="GUX92" s="24"/>
      <c r="GUY92" s="24"/>
      <c r="GUZ92" s="24"/>
      <c r="GVA92" s="24"/>
      <c r="GVB92" s="24"/>
      <c r="GVC92" s="24"/>
      <c r="GVD92" s="24"/>
      <c r="GVE92" s="24"/>
      <c r="GVF92" s="24"/>
      <c r="GVG92" s="24"/>
      <c r="GVH92" s="24"/>
      <c r="GVI92" s="24"/>
      <c r="GVJ92" s="24"/>
      <c r="GVK92" s="24"/>
      <c r="GVL92" s="24"/>
      <c r="GVM92" s="24"/>
      <c r="GVN92" s="24"/>
      <c r="GVO92" s="24"/>
      <c r="GVP92" s="24"/>
      <c r="GVQ92" s="24"/>
      <c r="GVR92" s="24"/>
      <c r="GVS92" s="24"/>
      <c r="GVT92" s="24"/>
      <c r="GVU92" s="24"/>
      <c r="GVV92" s="24"/>
      <c r="GVW92" s="24"/>
      <c r="GVX92" s="24"/>
      <c r="GVY92" s="24"/>
      <c r="GVZ92" s="24"/>
      <c r="GWA92" s="24"/>
      <c r="GWB92" s="24"/>
      <c r="GWC92" s="24"/>
      <c r="GWD92" s="24"/>
      <c r="GWE92" s="24"/>
      <c r="GWF92" s="24"/>
      <c r="GWG92" s="24"/>
      <c r="GWH92" s="24"/>
      <c r="GWI92" s="24"/>
      <c r="GWJ92" s="24"/>
      <c r="GWK92" s="24"/>
      <c r="GWL92" s="24"/>
      <c r="GWM92" s="24"/>
      <c r="GWN92" s="24"/>
      <c r="GWO92" s="24"/>
      <c r="GWP92" s="24"/>
      <c r="GWQ92" s="24"/>
      <c r="GWR92" s="24"/>
      <c r="GWS92" s="24"/>
      <c r="GWT92" s="24"/>
      <c r="GWU92" s="24"/>
      <c r="GWV92" s="24"/>
      <c r="GWW92" s="24"/>
      <c r="GWX92" s="24"/>
      <c r="GWY92" s="24"/>
      <c r="GWZ92" s="24"/>
      <c r="GXA92" s="24"/>
      <c r="GXB92" s="24"/>
      <c r="GXC92" s="24"/>
      <c r="GXD92" s="24"/>
      <c r="GXE92" s="24"/>
      <c r="GXF92" s="24"/>
      <c r="GXG92" s="24"/>
      <c r="GXH92" s="24"/>
      <c r="GXI92" s="24"/>
      <c r="GXJ92" s="24"/>
      <c r="GXK92" s="24"/>
      <c r="GXL92" s="24"/>
      <c r="GXM92" s="24"/>
      <c r="GXN92" s="24"/>
      <c r="GXO92" s="24"/>
      <c r="GXP92" s="24"/>
      <c r="GXQ92" s="24"/>
      <c r="GXR92" s="24"/>
      <c r="GXS92" s="24"/>
      <c r="GXT92" s="24"/>
      <c r="GXU92" s="24"/>
      <c r="GXV92" s="24"/>
      <c r="GXW92" s="24"/>
      <c r="GXX92" s="24"/>
      <c r="GXY92" s="24"/>
      <c r="GXZ92" s="24"/>
      <c r="GYA92" s="24"/>
      <c r="GYB92" s="24"/>
      <c r="GYC92" s="24"/>
      <c r="GYD92" s="24"/>
      <c r="GYE92" s="24"/>
      <c r="GYF92" s="24"/>
      <c r="GYG92" s="24"/>
      <c r="GYH92" s="24"/>
      <c r="GYI92" s="24"/>
      <c r="GYJ92" s="24"/>
      <c r="GYK92" s="24"/>
      <c r="GYL92" s="24"/>
      <c r="GYM92" s="24"/>
      <c r="GYN92" s="24"/>
      <c r="GYO92" s="24"/>
      <c r="GYP92" s="24"/>
      <c r="GYQ92" s="24"/>
      <c r="GYR92" s="24"/>
      <c r="GYS92" s="24"/>
      <c r="GYT92" s="24"/>
      <c r="GYU92" s="24"/>
      <c r="GYV92" s="24"/>
      <c r="GYW92" s="24"/>
      <c r="GYX92" s="24"/>
      <c r="GYY92" s="24"/>
      <c r="GYZ92" s="24"/>
      <c r="GZA92" s="24"/>
      <c r="GZB92" s="24"/>
      <c r="GZC92" s="24"/>
      <c r="GZD92" s="24"/>
      <c r="GZE92" s="24"/>
      <c r="GZF92" s="24"/>
      <c r="GZG92" s="24"/>
      <c r="GZH92" s="24"/>
      <c r="GZI92" s="24"/>
      <c r="GZJ92" s="24"/>
      <c r="GZK92" s="24"/>
      <c r="GZL92" s="24"/>
      <c r="GZM92" s="24"/>
      <c r="GZN92" s="24"/>
      <c r="GZO92" s="24"/>
      <c r="GZP92" s="24"/>
      <c r="GZQ92" s="24"/>
      <c r="GZR92" s="24"/>
      <c r="GZS92" s="24"/>
      <c r="GZT92" s="24"/>
      <c r="GZU92" s="24"/>
      <c r="GZV92" s="24"/>
      <c r="GZW92" s="24"/>
      <c r="GZX92" s="24"/>
      <c r="GZY92" s="24"/>
      <c r="GZZ92" s="24"/>
      <c r="HAA92" s="24"/>
      <c r="HAB92" s="24"/>
      <c r="HAC92" s="24"/>
      <c r="HAD92" s="24"/>
      <c r="HAE92" s="24"/>
      <c r="HAF92" s="24"/>
      <c r="HAG92" s="24"/>
      <c r="HAH92" s="24"/>
      <c r="HAI92" s="24"/>
      <c r="HAJ92" s="24"/>
      <c r="HAK92" s="24"/>
      <c r="HAL92" s="24"/>
      <c r="HAM92" s="24"/>
      <c r="HAN92" s="24"/>
      <c r="HAO92" s="24"/>
      <c r="HAP92" s="24"/>
      <c r="HAQ92" s="24"/>
      <c r="HAR92" s="24"/>
      <c r="HAS92" s="24"/>
      <c r="HAT92" s="24"/>
      <c r="HAU92" s="24"/>
      <c r="HAV92" s="24"/>
      <c r="HAW92" s="24"/>
      <c r="HAX92" s="24"/>
      <c r="HAY92" s="24"/>
      <c r="HAZ92" s="24"/>
      <c r="HBA92" s="24"/>
      <c r="HBB92" s="24"/>
      <c r="HBC92" s="24"/>
      <c r="HBD92" s="24"/>
      <c r="HBE92" s="24"/>
      <c r="HBF92" s="24"/>
      <c r="HBG92" s="24"/>
      <c r="HBH92" s="24"/>
      <c r="HBI92" s="24"/>
      <c r="HBJ92" s="24"/>
      <c r="HBK92" s="24"/>
      <c r="HBL92" s="24"/>
      <c r="HBM92" s="24"/>
      <c r="HBN92" s="24"/>
      <c r="HBO92" s="24"/>
      <c r="HBP92" s="24"/>
      <c r="HBQ92" s="24"/>
      <c r="HBR92" s="24"/>
      <c r="HBS92" s="24"/>
      <c r="HBT92" s="24"/>
      <c r="HBU92" s="24"/>
      <c r="HBV92" s="24"/>
      <c r="HBW92" s="24"/>
      <c r="HBX92" s="24"/>
      <c r="HBY92" s="24"/>
      <c r="HBZ92" s="24"/>
      <c r="HCA92" s="24"/>
      <c r="HCB92" s="24"/>
      <c r="HCC92" s="24"/>
      <c r="HCD92" s="24"/>
      <c r="HCE92" s="24"/>
      <c r="HCF92" s="24"/>
      <c r="HCG92" s="24"/>
      <c r="HCH92" s="24"/>
      <c r="HCI92" s="24"/>
      <c r="HCJ92" s="24"/>
      <c r="HCK92" s="24"/>
      <c r="HCL92" s="24"/>
      <c r="HCM92" s="24"/>
      <c r="HCN92" s="24"/>
      <c r="HCO92" s="24"/>
      <c r="HCP92" s="24"/>
      <c r="HCQ92" s="24"/>
      <c r="HCR92" s="24"/>
      <c r="HCS92" s="24"/>
      <c r="HCT92" s="24"/>
      <c r="HCU92" s="24"/>
      <c r="HCV92" s="24"/>
      <c r="HCW92" s="24"/>
      <c r="HCX92" s="24"/>
      <c r="HCY92" s="24"/>
      <c r="HCZ92" s="24"/>
      <c r="HDA92" s="24"/>
      <c r="HDB92" s="24"/>
      <c r="HDC92" s="24"/>
      <c r="HDD92" s="24"/>
      <c r="HDE92" s="24"/>
      <c r="HDF92" s="24"/>
      <c r="HDG92" s="24"/>
      <c r="HDH92" s="24"/>
      <c r="HDI92" s="24"/>
      <c r="HDJ92" s="24"/>
      <c r="HDK92" s="24"/>
      <c r="HDL92" s="24"/>
      <c r="HDM92" s="24"/>
      <c r="HDN92" s="24"/>
      <c r="HDO92" s="24"/>
      <c r="HDP92" s="24"/>
      <c r="HDQ92" s="24"/>
      <c r="HDR92" s="24"/>
      <c r="HDS92" s="24"/>
      <c r="HDT92" s="24"/>
      <c r="HDU92" s="24"/>
      <c r="HDV92" s="24"/>
      <c r="HDW92" s="24"/>
      <c r="HDX92" s="24"/>
      <c r="HDY92" s="24"/>
      <c r="HDZ92" s="24"/>
      <c r="HEA92" s="24"/>
      <c r="HEB92" s="24"/>
      <c r="HEC92" s="24"/>
      <c r="HED92" s="24"/>
      <c r="HEE92" s="24"/>
      <c r="HEF92" s="24"/>
      <c r="HEG92" s="24"/>
      <c r="HEH92" s="24"/>
      <c r="HEI92" s="24"/>
      <c r="HEJ92" s="24"/>
      <c r="HEK92" s="24"/>
      <c r="HEL92" s="24"/>
      <c r="HEM92" s="24"/>
      <c r="HEN92" s="24"/>
      <c r="HEO92" s="24"/>
      <c r="HEP92" s="24"/>
      <c r="HEQ92" s="24"/>
      <c r="HER92" s="24"/>
      <c r="HES92" s="24"/>
      <c r="HET92" s="24"/>
      <c r="HEU92" s="24"/>
      <c r="HEV92" s="24"/>
      <c r="HEW92" s="24"/>
      <c r="HEX92" s="24"/>
      <c r="HEY92" s="24"/>
      <c r="HEZ92" s="24"/>
      <c r="HFA92" s="24"/>
      <c r="HFB92" s="24"/>
      <c r="HFC92" s="24"/>
      <c r="HFD92" s="24"/>
      <c r="HFE92" s="24"/>
      <c r="HFF92" s="24"/>
      <c r="HFG92" s="24"/>
      <c r="HFH92" s="24"/>
      <c r="HFI92" s="24"/>
      <c r="HFJ92" s="24"/>
      <c r="HFK92" s="24"/>
      <c r="HFL92" s="24"/>
      <c r="HFM92" s="24"/>
      <c r="HFN92" s="24"/>
      <c r="HFO92" s="24"/>
      <c r="HFP92" s="24"/>
      <c r="HFQ92" s="24"/>
      <c r="HFR92" s="24"/>
      <c r="HFS92" s="24"/>
      <c r="HFT92" s="24"/>
      <c r="HFU92" s="24"/>
      <c r="HFV92" s="24"/>
      <c r="HFW92" s="24"/>
      <c r="HFX92" s="24"/>
      <c r="HFY92" s="24"/>
      <c r="HFZ92" s="24"/>
      <c r="HGA92" s="24"/>
      <c r="HGB92" s="24"/>
      <c r="HGC92" s="24"/>
      <c r="HGD92" s="24"/>
      <c r="HGE92" s="24"/>
      <c r="HGF92" s="24"/>
      <c r="HGG92" s="24"/>
      <c r="HGH92" s="24"/>
      <c r="HGI92" s="24"/>
      <c r="HGJ92" s="24"/>
      <c r="HGK92" s="24"/>
      <c r="HGL92" s="24"/>
      <c r="HGM92" s="24"/>
      <c r="HGN92" s="24"/>
      <c r="HGO92" s="24"/>
      <c r="HGP92" s="24"/>
      <c r="HGQ92" s="24"/>
      <c r="HGR92" s="24"/>
      <c r="HGS92" s="24"/>
      <c r="HGT92" s="24"/>
      <c r="HGU92" s="24"/>
      <c r="HGV92" s="24"/>
      <c r="HGW92" s="24"/>
      <c r="HGX92" s="24"/>
      <c r="HGY92" s="24"/>
      <c r="HGZ92" s="24"/>
      <c r="HHA92" s="24"/>
      <c r="HHB92" s="24"/>
      <c r="HHC92" s="24"/>
      <c r="HHD92" s="24"/>
      <c r="HHE92" s="24"/>
      <c r="HHF92" s="24"/>
      <c r="HHG92" s="24"/>
      <c r="HHH92" s="24"/>
      <c r="HHI92" s="24"/>
      <c r="HHJ92" s="24"/>
      <c r="HHK92" s="24"/>
      <c r="HHL92" s="24"/>
      <c r="HHM92" s="24"/>
      <c r="HHN92" s="24"/>
      <c r="HHO92" s="24"/>
      <c r="HHP92" s="24"/>
      <c r="HHQ92" s="24"/>
      <c r="HHR92" s="24"/>
      <c r="HHS92" s="24"/>
      <c r="HHT92" s="24"/>
      <c r="HHU92" s="24"/>
      <c r="HHV92" s="24"/>
      <c r="HHW92" s="24"/>
      <c r="HHX92" s="24"/>
      <c r="HHY92" s="24"/>
      <c r="HHZ92" s="24"/>
      <c r="HIA92" s="24"/>
      <c r="HIB92" s="24"/>
      <c r="HIC92" s="24"/>
      <c r="HID92" s="24"/>
      <c r="HIE92" s="24"/>
      <c r="HIF92" s="24"/>
      <c r="HIG92" s="24"/>
      <c r="HIH92" s="24"/>
      <c r="HII92" s="24"/>
      <c r="HIJ92" s="24"/>
      <c r="HIK92" s="24"/>
      <c r="HIL92" s="24"/>
      <c r="HIM92" s="24"/>
      <c r="HIN92" s="24"/>
      <c r="HIO92" s="24"/>
      <c r="HIP92" s="24"/>
      <c r="HIQ92" s="24"/>
      <c r="HIR92" s="24"/>
      <c r="HIS92" s="24"/>
      <c r="HIT92" s="24"/>
      <c r="HIU92" s="24"/>
      <c r="HIV92" s="24"/>
      <c r="HIW92" s="24"/>
      <c r="HIX92" s="24"/>
      <c r="HIY92" s="24"/>
      <c r="HIZ92" s="24"/>
      <c r="HJA92" s="24"/>
      <c r="HJB92" s="24"/>
      <c r="HJC92" s="24"/>
      <c r="HJD92" s="24"/>
      <c r="HJE92" s="24"/>
      <c r="HJF92" s="24"/>
      <c r="HJG92" s="24"/>
      <c r="HJH92" s="24"/>
      <c r="HJI92" s="24"/>
      <c r="HJJ92" s="24"/>
      <c r="HJK92" s="24"/>
      <c r="HJL92" s="24"/>
      <c r="HJM92" s="24"/>
      <c r="HJN92" s="24"/>
      <c r="HJO92" s="24"/>
      <c r="HJP92" s="24"/>
      <c r="HJQ92" s="24"/>
      <c r="HJR92" s="24"/>
      <c r="HJS92" s="24"/>
      <c r="HJT92" s="24"/>
      <c r="HJU92" s="24"/>
      <c r="HJV92" s="24"/>
      <c r="HJW92" s="24"/>
      <c r="HJX92" s="24"/>
      <c r="HJY92" s="24"/>
      <c r="HJZ92" s="24"/>
      <c r="HKA92" s="24"/>
      <c r="HKB92" s="24"/>
      <c r="HKC92" s="24"/>
      <c r="HKD92" s="24"/>
      <c r="HKE92" s="24"/>
      <c r="HKF92" s="24"/>
      <c r="HKG92" s="24"/>
      <c r="HKH92" s="24"/>
      <c r="HKI92" s="24"/>
      <c r="HKJ92" s="24"/>
      <c r="HKK92" s="24"/>
      <c r="HKL92" s="24"/>
      <c r="HKM92" s="24"/>
      <c r="HKN92" s="24"/>
      <c r="HKO92" s="24"/>
      <c r="HKP92" s="24"/>
      <c r="HKQ92" s="24"/>
      <c r="HKR92" s="24"/>
      <c r="HKS92" s="24"/>
      <c r="HKT92" s="24"/>
      <c r="HKU92" s="24"/>
      <c r="HKV92" s="24"/>
      <c r="HKW92" s="24"/>
      <c r="HKX92" s="24"/>
      <c r="HKY92" s="24"/>
      <c r="HKZ92" s="24"/>
      <c r="HLA92" s="24"/>
      <c r="HLB92" s="24"/>
      <c r="HLC92" s="24"/>
      <c r="HLD92" s="24"/>
      <c r="HLE92" s="24"/>
      <c r="HLF92" s="24"/>
      <c r="HLG92" s="24"/>
      <c r="HLH92" s="24"/>
      <c r="HLI92" s="24"/>
      <c r="HLJ92" s="24"/>
      <c r="HLK92" s="24"/>
      <c r="HLL92" s="24"/>
      <c r="HLM92" s="24"/>
      <c r="HLN92" s="24"/>
      <c r="HLO92" s="24"/>
      <c r="HLP92" s="24"/>
      <c r="HLQ92" s="24"/>
      <c r="HLR92" s="24"/>
      <c r="HLS92" s="24"/>
      <c r="HLT92" s="24"/>
      <c r="HLU92" s="24"/>
      <c r="HLV92" s="24"/>
      <c r="HLW92" s="24"/>
      <c r="HLX92" s="24"/>
      <c r="HLY92" s="24"/>
      <c r="HLZ92" s="24"/>
      <c r="HMA92" s="24"/>
      <c r="HMB92" s="24"/>
      <c r="HMC92" s="24"/>
      <c r="HMD92" s="24"/>
      <c r="HME92" s="24"/>
      <c r="HMF92" s="24"/>
      <c r="HMG92" s="24"/>
      <c r="HMH92" s="24"/>
      <c r="HMI92" s="24"/>
      <c r="HMJ92" s="24"/>
      <c r="HMK92" s="24"/>
      <c r="HML92" s="24"/>
      <c r="HMM92" s="24"/>
      <c r="HMN92" s="24"/>
      <c r="HMO92" s="24"/>
      <c r="HMP92" s="24"/>
      <c r="HMQ92" s="24"/>
      <c r="HMR92" s="24"/>
      <c r="HMS92" s="24"/>
      <c r="HMT92" s="24"/>
      <c r="HMU92" s="24"/>
      <c r="HMV92" s="24"/>
      <c r="HMW92" s="24"/>
      <c r="HMX92" s="24"/>
      <c r="HMY92" s="24"/>
      <c r="HMZ92" s="24"/>
      <c r="HNA92" s="24"/>
      <c r="HNB92" s="24"/>
      <c r="HNC92" s="24"/>
      <c r="HND92" s="24"/>
      <c r="HNE92" s="24"/>
      <c r="HNF92" s="24"/>
      <c r="HNG92" s="24"/>
      <c r="HNH92" s="24"/>
      <c r="HNI92" s="24"/>
      <c r="HNJ92" s="24"/>
      <c r="HNK92" s="24"/>
      <c r="HNL92" s="24"/>
      <c r="HNM92" s="24"/>
      <c r="HNN92" s="24"/>
      <c r="HNO92" s="24"/>
      <c r="HNP92" s="24"/>
      <c r="HNQ92" s="24"/>
      <c r="HNR92" s="24"/>
      <c r="HNS92" s="24"/>
      <c r="HNT92" s="24"/>
      <c r="HNU92" s="24"/>
      <c r="HNV92" s="24"/>
      <c r="HNW92" s="24"/>
      <c r="HNX92" s="24"/>
      <c r="HNY92" s="24"/>
      <c r="HNZ92" s="24"/>
      <c r="HOA92" s="24"/>
      <c r="HOB92" s="24"/>
      <c r="HOC92" s="24"/>
      <c r="HOD92" s="24"/>
      <c r="HOE92" s="24"/>
      <c r="HOF92" s="24"/>
      <c r="HOG92" s="24"/>
      <c r="HOH92" s="24"/>
      <c r="HOI92" s="24"/>
      <c r="HOJ92" s="24"/>
      <c r="HOK92" s="24"/>
      <c r="HOL92" s="24"/>
      <c r="HOM92" s="24"/>
      <c r="HON92" s="24"/>
      <c r="HOO92" s="24"/>
      <c r="HOP92" s="24"/>
      <c r="HOQ92" s="24"/>
      <c r="HOR92" s="24"/>
      <c r="HOS92" s="24"/>
      <c r="HOT92" s="24"/>
      <c r="HOU92" s="24"/>
      <c r="HOV92" s="24"/>
      <c r="HOW92" s="24"/>
      <c r="HOX92" s="24"/>
      <c r="HOY92" s="24"/>
      <c r="HOZ92" s="24"/>
      <c r="HPA92" s="24"/>
      <c r="HPB92" s="24"/>
      <c r="HPC92" s="24"/>
      <c r="HPD92" s="24"/>
      <c r="HPE92" s="24"/>
      <c r="HPF92" s="24"/>
      <c r="HPG92" s="24"/>
      <c r="HPH92" s="24"/>
      <c r="HPI92" s="24"/>
      <c r="HPJ92" s="24"/>
      <c r="HPK92" s="24"/>
      <c r="HPL92" s="24"/>
      <c r="HPM92" s="24"/>
      <c r="HPN92" s="24"/>
      <c r="HPO92" s="24"/>
      <c r="HPP92" s="24"/>
      <c r="HPQ92" s="24"/>
      <c r="HPR92" s="24"/>
      <c r="HPS92" s="24"/>
      <c r="HPT92" s="24"/>
      <c r="HPU92" s="24"/>
      <c r="HPV92" s="24"/>
      <c r="HPW92" s="24"/>
      <c r="HPX92" s="24"/>
      <c r="HPY92" s="24"/>
      <c r="HPZ92" s="24"/>
      <c r="HQA92" s="24"/>
      <c r="HQB92" s="24"/>
      <c r="HQC92" s="24"/>
      <c r="HQD92" s="24"/>
      <c r="HQE92" s="24"/>
      <c r="HQF92" s="24"/>
      <c r="HQG92" s="24"/>
      <c r="HQH92" s="24"/>
      <c r="HQI92" s="24"/>
      <c r="HQJ92" s="24"/>
      <c r="HQK92" s="24"/>
      <c r="HQL92" s="24"/>
      <c r="HQM92" s="24"/>
      <c r="HQN92" s="24"/>
      <c r="HQO92" s="24"/>
      <c r="HQP92" s="24"/>
      <c r="HQQ92" s="24"/>
      <c r="HQR92" s="24"/>
      <c r="HQS92" s="24"/>
      <c r="HQT92" s="24"/>
      <c r="HQU92" s="24"/>
      <c r="HQV92" s="24"/>
      <c r="HQW92" s="24"/>
      <c r="HQX92" s="24"/>
      <c r="HQY92" s="24"/>
      <c r="HQZ92" s="24"/>
      <c r="HRA92" s="24"/>
      <c r="HRB92" s="24"/>
      <c r="HRC92" s="24"/>
      <c r="HRD92" s="24"/>
      <c r="HRE92" s="24"/>
      <c r="HRF92" s="24"/>
      <c r="HRG92" s="24"/>
      <c r="HRH92" s="24"/>
      <c r="HRI92" s="24"/>
      <c r="HRJ92" s="24"/>
      <c r="HRK92" s="24"/>
      <c r="HRL92" s="24"/>
      <c r="HRM92" s="24"/>
      <c r="HRN92" s="24"/>
      <c r="HRO92" s="24"/>
      <c r="HRP92" s="24"/>
      <c r="HRQ92" s="24"/>
      <c r="HRR92" s="24"/>
      <c r="HRS92" s="24"/>
      <c r="HRT92" s="24"/>
      <c r="HRU92" s="24"/>
      <c r="HRV92" s="24"/>
      <c r="HRW92" s="24"/>
      <c r="HRX92" s="24"/>
      <c r="HRY92" s="24"/>
      <c r="HRZ92" s="24"/>
      <c r="HSA92" s="24"/>
      <c r="HSB92" s="24"/>
      <c r="HSC92" s="24"/>
      <c r="HSD92" s="24"/>
      <c r="HSE92" s="24"/>
      <c r="HSF92" s="24"/>
      <c r="HSG92" s="24"/>
      <c r="HSH92" s="24"/>
      <c r="HSI92" s="24"/>
      <c r="HSJ92" s="24"/>
      <c r="HSK92" s="24"/>
      <c r="HSL92" s="24"/>
      <c r="HSM92" s="24"/>
      <c r="HSN92" s="24"/>
      <c r="HSO92" s="24"/>
      <c r="HSP92" s="24"/>
      <c r="HSQ92" s="24"/>
      <c r="HSR92" s="24"/>
      <c r="HSS92" s="24"/>
      <c r="HST92" s="24"/>
      <c r="HSU92" s="24"/>
      <c r="HSV92" s="24"/>
      <c r="HSW92" s="24"/>
      <c r="HSX92" s="24"/>
      <c r="HSY92" s="24"/>
      <c r="HSZ92" s="24"/>
      <c r="HTA92" s="24"/>
      <c r="HTB92" s="24"/>
      <c r="HTC92" s="24"/>
      <c r="HTD92" s="24"/>
      <c r="HTE92" s="24"/>
      <c r="HTF92" s="24"/>
      <c r="HTG92" s="24"/>
      <c r="HTH92" s="24"/>
      <c r="HTI92" s="24"/>
      <c r="HTJ92" s="24"/>
      <c r="HTK92" s="24"/>
      <c r="HTL92" s="24"/>
      <c r="HTM92" s="24"/>
      <c r="HTN92" s="24"/>
      <c r="HTO92" s="24"/>
      <c r="HTP92" s="24"/>
      <c r="HTQ92" s="24"/>
      <c r="HTR92" s="24"/>
      <c r="HTS92" s="24"/>
      <c r="HTT92" s="24"/>
      <c r="HTU92" s="24"/>
      <c r="HTV92" s="24"/>
      <c r="HTW92" s="24"/>
      <c r="HTX92" s="24"/>
      <c r="HTY92" s="24"/>
      <c r="HTZ92" s="24"/>
      <c r="HUA92" s="24"/>
      <c r="HUB92" s="24"/>
      <c r="HUC92" s="24"/>
      <c r="HUD92" s="24"/>
      <c r="HUE92" s="24"/>
      <c r="HUF92" s="24"/>
      <c r="HUG92" s="24"/>
      <c r="HUH92" s="24"/>
      <c r="HUI92" s="24"/>
      <c r="HUJ92" s="24"/>
      <c r="HUK92" s="24"/>
      <c r="HUL92" s="24"/>
      <c r="HUM92" s="24"/>
      <c r="HUN92" s="24"/>
      <c r="HUO92" s="24"/>
      <c r="HUP92" s="24"/>
      <c r="HUQ92" s="24"/>
      <c r="HUR92" s="24"/>
      <c r="HUS92" s="24"/>
      <c r="HUT92" s="24"/>
      <c r="HUU92" s="24"/>
      <c r="HUV92" s="24"/>
      <c r="HUW92" s="24"/>
      <c r="HUX92" s="24"/>
      <c r="HUY92" s="24"/>
      <c r="HUZ92" s="24"/>
      <c r="HVA92" s="24"/>
      <c r="HVB92" s="24"/>
      <c r="HVC92" s="24"/>
      <c r="HVD92" s="24"/>
      <c r="HVE92" s="24"/>
      <c r="HVF92" s="24"/>
      <c r="HVG92" s="24"/>
      <c r="HVH92" s="24"/>
      <c r="HVI92" s="24"/>
      <c r="HVJ92" s="24"/>
      <c r="HVK92" s="24"/>
      <c r="HVL92" s="24"/>
      <c r="HVM92" s="24"/>
      <c r="HVN92" s="24"/>
      <c r="HVO92" s="24"/>
      <c r="HVP92" s="24"/>
      <c r="HVQ92" s="24"/>
      <c r="HVR92" s="24"/>
      <c r="HVS92" s="24"/>
      <c r="HVT92" s="24"/>
      <c r="HVU92" s="24"/>
      <c r="HVV92" s="24"/>
      <c r="HVW92" s="24"/>
      <c r="HVX92" s="24"/>
      <c r="HVY92" s="24"/>
      <c r="HVZ92" s="24"/>
      <c r="HWA92" s="24"/>
      <c r="HWB92" s="24"/>
      <c r="HWC92" s="24"/>
      <c r="HWD92" s="24"/>
      <c r="HWE92" s="24"/>
      <c r="HWF92" s="24"/>
      <c r="HWG92" s="24"/>
      <c r="HWH92" s="24"/>
      <c r="HWI92" s="24"/>
      <c r="HWJ92" s="24"/>
      <c r="HWK92" s="24"/>
      <c r="HWL92" s="24"/>
      <c r="HWM92" s="24"/>
      <c r="HWN92" s="24"/>
      <c r="HWO92" s="24"/>
      <c r="HWP92" s="24"/>
      <c r="HWQ92" s="24"/>
      <c r="HWR92" s="24"/>
      <c r="HWS92" s="24"/>
      <c r="HWT92" s="24"/>
      <c r="HWU92" s="24"/>
      <c r="HWV92" s="24"/>
      <c r="HWW92" s="24"/>
      <c r="HWX92" s="24"/>
      <c r="HWY92" s="24"/>
      <c r="HWZ92" s="24"/>
      <c r="HXA92" s="24"/>
      <c r="HXB92" s="24"/>
      <c r="HXC92" s="24"/>
      <c r="HXD92" s="24"/>
      <c r="HXE92" s="24"/>
      <c r="HXF92" s="24"/>
      <c r="HXG92" s="24"/>
      <c r="HXH92" s="24"/>
      <c r="HXI92" s="24"/>
      <c r="HXJ92" s="24"/>
      <c r="HXK92" s="24"/>
      <c r="HXL92" s="24"/>
      <c r="HXM92" s="24"/>
      <c r="HXN92" s="24"/>
      <c r="HXO92" s="24"/>
      <c r="HXP92" s="24"/>
      <c r="HXQ92" s="24"/>
      <c r="HXR92" s="24"/>
      <c r="HXS92" s="24"/>
      <c r="HXT92" s="24"/>
      <c r="HXU92" s="24"/>
      <c r="HXV92" s="24"/>
      <c r="HXW92" s="24"/>
      <c r="HXX92" s="24"/>
      <c r="HXY92" s="24"/>
      <c r="HXZ92" s="24"/>
      <c r="HYA92" s="24"/>
      <c r="HYB92" s="24"/>
      <c r="HYC92" s="24"/>
      <c r="HYD92" s="24"/>
      <c r="HYE92" s="24"/>
      <c r="HYF92" s="24"/>
      <c r="HYG92" s="24"/>
      <c r="HYH92" s="24"/>
      <c r="HYI92" s="24"/>
      <c r="HYJ92" s="24"/>
      <c r="HYK92" s="24"/>
      <c r="HYL92" s="24"/>
      <c r="HYM92" s="24"/>
      <c r="HYN92" s="24"/>
      <c r="HYO92" s="24"/>
      <c r="HYP92" s="24"/>
      <c r="HYQ92" s="24"/>
      <c r="HYR92" s="24"/>
      <c r="HYS92" s="24"/>
      <c r="HYT92" s="24"/>
      <c r="HYU92" s="24"/>
      <c r="HYV92" s="24"/>
      <c r="HYW92" s="24"/>
      <c r="HYX92" s="24"/>
      <c r="HYY92" s="24"/>
      <c r="HYZ92" s="24"/>
      <c r="HZA92" s="24"/>
      <c r="HZB92" s="24"/>
      <c r="HZC92" s="24"/>
      <c r="HZD92" s="24"/>
      <c r="HZE92" s="24"/>
      <c r="HZF92" s="24"/>
      <c r="HZG92" s="24"/>
      <c r="HZH92" s="24"/>
      <c r="HZI92" s="24"/>
      <c r="HZJ92" s="24"/>
      <c r="HZK92" s="24"/>
      <c r="HZL92" s="24"/>
      <c r="HZM92" s="24"/>
      <c r="HZN92" s="24"/>
      <c r="HZO92" s="24"/>
      <c r="HZP92" s="24"/>
      <c r="HZQ92" s="24"/>
      <c r="HZR92" s="24"/>
      <c r="HZS92" s="24"/>
      <c r="HZT92" s="24"/>
      <c r="HZU92" s="24"/>
      <c r="HZV92" s="24"/>
      <c r="HZW92" s="24"/>
      <c r="HZX92" s="24"/>
      <c r="HZY92" s="24"/>
      <c r="HZZ92" s="24"/>
      <c r="IAA92" s="24"/>
      <c r="IAB92" s="24"/>
      <c r="IAC92" s="24"/>
      <c r="IAD92" s="24"/>
      <c r="IAE92" s="24"/>
      <c r="IAF92" s="24"/>
      <c r="IAG92" s="24"/>
      <c r="IAH92" s="24"/>
      <c r="IAI92" s="24"/>
      <c r="IAJ92" s="24"/>
      <c r="IAK92" s="24"/>
      <c r="IAL92" s="24"/>
      <c r="IAM92" s="24"/>
      <c r="IAN92" s="24"/>
      <c r="IAO92" s="24"/>
      <c r="IAP92" s="24"/>
      <c r="IAQ92" s="24"/>
      <c r="IAR92" s="24"/>
      <c r="IAS92" s="24"/>
      <c r="IAT92" s="24"/>
      <c r="IAU92" s="24"/>
      <c r="IAV92" s="24"/>
      <c r="IAW92" s="24"/>
      <c r="IAX92" s="24"/>
      <c r="IAY92" s="24"/>
      <c r="IAZ92" s="24"/>
      <c r="IBA92" s="24"/>
      <c r="IBB92" s="24"/>
      <c r="IBC92" s="24"/>
      <c r="IBD92" s="24"/>
      <c r="IBE92" s="24"/>
      <c r="IBF92" s="24"/>
      <c r="IBG92" s="24"/>
      <c r="IBH92" s="24"/>
      <c r="IBI92" s="24"/>
      <c r="IBJ92" s="24"/>
      <c r="IBK92" s="24"/>
      <c r="IBL92" s="24"/>
      <c r="IBM92" s="24"/>
      <c r="IBN92" s="24"/>
      <c r="IBO92" s="24"/>
      <c r="IBP92" s="24"/>
      <c r="IBQ92" s="24"/>
      <c r="IBR92" s="24"/>
      <c r="IBS92" s="24"/>
      <c r="IBT92" s="24"/>
      <c r="IBU92" s="24"/>
      <c r="IBV92" s="24"/>
      <c r="IBW92" s="24"/>
      <c r="IBX92" s="24"/>
      <c r="IBY92" s="24"/>
      <c r="IBZ92" s="24"/>
      <c r="ICA92" s="24"/>
      <c r="ICB92" s="24"/>
      <c r="ICC92" s="24"/>
      <c r="ICD92" s="24"/>
      <c r="ICE92" s="24"/>
      <c r="ICF92" s="24"/>
      <c r="ICG92" s="24"/>
      <c r="ICH92" s="24"/>
      <c r="ICI92" s="24"/>
      <c r="ICJ92" s="24"/>
      <c r="ICK92" s="24"/>
      <c r="ICL92" s="24"/>
      <c r="ICM92" s="24"/>
      <c r="ICN92" s="24"/>
      <c r="ICO92" s="24"/>
      <c r="ICP92" s="24"/>
      <c r="ICQ92" s="24"/>
      <c r="ICR92" s="24"/>
      <c r="ICS92" s="24"/>
      <c r="ICT92" s="24"/>
      <c r="ICU92" s="24"/>
      <c r="ICV92" s="24"/>
      <c r="ICW92" s="24"/>
      <c r="ICX92" s="24"/>
      <c r="ICY92" s="24"/>
      <c r="ICZ92" s="24"/>
      <c r="IDA92" s="24"/>
      <c r="IDB92" s="24"/>
      <c r="IDC92" s="24"/>
      <c r="IDD92" s="24"/>
      <c r="IDE92" s="24"/>
      <c r="IDF92" s="24"/>
      <c r="IDG92" s="24"/>
      <c r="IDH92" s="24"/>
      <c r="IDI92" s="24"/>
      <c r="IDJ92" s="24"/>
      <c r="IDK92" s="24"/>
      <c r="IDL92" s="24"/>
      <c r="IDM92" s="24"/>
      <c r="IDN92" s="24"/>
      <c r="IDO92" s="24"/>
      <c r="IDP92" s="24"/>
      <c r="IDQ92" s="24"/>
      <c r="IDR92" s="24"/>
      <c r="IDS92" s="24"/>
      <c r="IDT92" s="24"/>
      <c r="IDU92" s="24"/>
      <c r="IDV92" s="24"/>
      <c r="IDW92" s="24"/>
      <c r="IDX92" s="24"/>
      <c r="IDY92" s="24"/>
      <c r="IDZ92" s="24"/>
      <c r="IEA92" s="24"/>
      <c r="IEB92" s="24"/>
      <c r="IEC92" s="24"/>
      <c r="IED92" s="24"/>
      <c r="IEE92" s="24"/>
      <c r="IEF92" s="24"/>
      <c r="IEG92" s="24"/>
      <c r="IEH92" s="24"/>
      <c r="IEI92" s="24"/>
      <c r="IEJ92" s="24"/>
      <c r="IEK92" s="24"/>
      <c r="IEL92" s="24"/>
      <c r="IEM92" s="24"/>
      <c r="IEN92" s="24"/>
      <c r="IEO92" s="24"/>
      <c r="IEP92" s="24"/>
      <c r="IEQ92" s="24"/>
      <c r="IER92" s="24"/>
      <c r="IES92" s="24"/>
      <c r="IET92" s="24"/>
      <c r="IEU92" s="24"/>
      <c r="IEV92" s="24"/>
      <c r="IEW92" s="24"/>
      <c r="IEX92" s="24"/>
      <c r="IEY92" s="24"/>
      <c r="IEZ92" s="24"/>
      <c r="IFA92" s="24"/>
      <c r="IFB92" s="24"/>
      <c r="IFC92" s="24"/>
      <c r="IFD92" s="24"/>
      <c r="IFE92" s="24"/>
      <c r="IFF92" s="24"/>
      <c r="IFG92" s="24"/>
      <c r="IFH92" s="24"/>
      <c r="IFI92" s="24"/>
      <c r="IFJ92" s="24"/>
      <c r="IFK92" s="24"/>
      <c r="IFL92" s="24"/>
      <c r="IFM92" s="24"/>
      <c r="IFN92" s="24"/>
      <c r="IFO92" s="24"/>
      <c r="IFP92" s="24"/>
      <c r="IFQ92" s="24"/>
      <c r="IFR92" s="24"/>
      <c r="IFS92" s="24"/>
      <c r="IFT92" s="24"/>
      <c r="IFU92" s="24"/>
      <c r="IFV92" s="24"/>
      <c r="IFW92" s="24"/>
      <c r="IFX92" s="24"/>
      <c r="IFY92" s="24"/>
      <c r="IFZ92" s="24"/>
      <c r="IGA92" s="24"/>
      <c r="IGB92" s="24"/>
      <c r="IGC92" s="24"/>
      <c r="IGD92" s="24"/>
      <c r="IGE92" s="24"/>
      <c r="IGF92" s="24"/>
      <c r="IGG92" s="24"/>
      <c r="IGH92" s="24"/>
      <c r="IGI92" s="24"/>
      <c r="IGJ92" s="24"/>
      <c r="IGK92" s="24"/>
      <c r="IGL92" s="24"/>
      <c r="IGM92" s="24"/>
      <c r="IGN92" s="24"/>
      <c r="IGO92" s="24"/>
      <c r="IGP92" s="24"/>
      <c r="IGQ92" s="24"/>
      <c r="IGR92" s="24"/>
      <c r="IGS92" s="24"/>
      <c r="IGT92" s="24"/>
      <c r="IGU92" s="24"/>
      <c r="IGV92" s="24"/>
      <c r="IGW92" s="24"/>
      <c r="IGX92" s="24"/>
      <c r="IGY92" s="24"/>
      <c r="IGZ92" s="24"/>
      <c r="IHA92" s="24"/>
      <c r="IHB92" s="24"/>
      <c r="IHC92" s="24"/>
      <c r="IHD92" s="24"/>
      <c r="IHE92" s="24"/>
      <c r="IHF92" s="24"/>
      <c r="IHG92" s="24"/>
      <c r="IHH92" s="24"/>
      <c r="IHI92" s="24"/>
      <c r="IHJ92" s="24"/>
      <c r="IHK92" s="24"/>
      <c r="IHL92" s="24"/>
      <c r="IHM92" s="24"/>
      <c r="IHN92" s="24"/>
      <c r="IHO92" s="24"/>
      <c r="IHP92" s="24"/>
      <c r="IHQ92" s="24"/>
      <c r="IHR92" s="24"/>
      <c r="IHS92" s="24"/>
      <c r="IHT92" s="24"/>
      <c r="IHU92" s="24"/>
      <c r="IHV92" s="24"/>
      <c r="IHW92" s="24"/>
      <c r="IHX92" s="24"/>
      <c r="IHY92" s="24"/>
      <c r="IHZ92" s="24"/>
      <c r="IIA92" s="24"/>
      <c r="IIB92" s="24"/>
      <c r="IIC92" s="24"/>
      <c r="IID92" s="24"/>
      <c r="IIE92" s="24"/>
      <c r="IIF92" s="24"/>
      <c r="IIG92" s="24"/>
      <c r="IIH92" s="24"/>
      <c r="III92" s="24"/>
      <c r="IIJ92" s="24"/>
      <c r="IIK92" s="24"/>
      <c r="IIL92" s="24"/>
      <c r="IIM92" s="24"/>
      <c r="IIN92" s="24"/>
      <c r="IIO92" s="24"/>
      <c r="IIP92" s="24"/>
      <c r="IIQ92" s="24"/>
      <c r="IIR92" s="24"/>
      <c r="IIS92" s="24"/>
      <c r="IIT92" s="24"/>
      <c r="IIU92" s="24"/>
      <c r="IIV92" s="24"/>
      <c r="IIW92" s="24"/>
      <c r="IIX92" s="24"/>
      <c r="IIY92" s="24"/>
      <c r="IIZ92" s="24"/>
      <c r="IJA92" s="24"/>
      <c r="IJB92" s="24"/>
      <c r="IJC92" s="24"/>
      <c r="IJD92" s="24"/>
      <c r="IJE92" s="24"/>
      <c r="IJF92" s="24"/>
      <c r="IJG92" s="24"/>
      <c r="IJH92" s="24"/>
      <c r="IJI92" s="24"/>
      <c r="IJJ92" s="24"/>
      <c r="IJK92" s="24"/>
      <c r="IJL92" s="24"/>
      <c r="IJM92" s="24"/>
      <c r="IJN92" s="24"/>
      <c r="IJO92" s="24"/>
      <c r="IJP92" s="24"/>
      <c r="IJQ92" s="24"/>
      <c r="IJR92" s="24"/>
      <c r="IJS92" s="24"/>
      <c r="IJT92" s="24"/>
      <c r="IJU92" s="24"/>
      <c r="IJV92" s="24"/>
      <c r="IJW92" s="24"/>
      <c r="IJX92" s="24"/>
      <c r="IJY92" s="24"/>
      <c r="IJZ92" s="24"/>
      <c r="IKA92" s="24"/>
      <c r="IKB92" s="24"/>
      <c r="IKC92" s="24"/>
      <c r="IKD92" s="24"/>
      <c r="IKE92" s="24"/>
      <c r="IKF92" s="24"/>
      <c r="IKG92" s="24"/>
      <c r="IKH92" s="24"/>
      <c r="IKI92" s="24"/>
      <c r="IKJ92" s="24"/>
      <c r="IKK92" s="24"/>
      <c r="IKL92" s="24"/>
      <c r="IKM92" s="24"/>
      <c r="IKN92" s="24"/>
      <c r="IKO92" s="24"/>
      <c r="IKP92" s="24"/>
      <c r="IKQ92" s="24"/>
      <c r="IKR92" s="24"/>
      <c r="IKS92" s="24"/>
      <c r="IKT92" s="24"/>
      <c r="IKU92" s="24"/>
      <c r="IKV92" s="24"/>
      <c r="IKW92" s="24"/>
      <c r="IKX92" s="24"/>
      <c r="IKY92" s="24"/>
      <c r="IKZ92" s="24"/>
      <c r="ILA92" s="24"/>
      <c r="ILB92" s="24"/>
      <c r="ILC92" s="24"/>
      <c r="ILD92" s="24"/>
      <c r="ILE92" s="24"/>
      <c r="ILF92" s="24"/>
      <c r="ILG92" s="24"/>
      <c r="ILH92" s="24"/>
      <c r="ILI92" s="24"/>
      <c r="ILJ92" s="24"/>
      <c r="ILK92" s="24"/>
      <c r="ILL92" s="24"/>
      <c r="ILM92" s="24"/>
      <c r="ILN92" s="24"/>
      <c r="ILO92" s="24"/>
      <c r="ILP92" s="24"/>
      <c r="ILQ92" s="24"/>
      <c r="ILR92" s="24"/>
      <c r="ILS92" s="24"/>
      <c r="ILT92" s="24"/>
      <c r="ILU92" s="24"/>
      <c r="ILV92" s="24"/>
      <c r="ILW92" s="24"/>
      <c r="ILX92" s="24"/>
      <c r="ILY92" s="24"/>
      <c r="ILZ92" s="24"/>
      <c r="IMA92" s="24"/>
      <c r="IMB92" s="24"/>
      <c r="IMC92" s="24"/>
      <c r="IMD92" s="24"/>
      <c r="IME92" s="24"/>
      <c r="IMF92" s="24"/>
      <c r="IMG92" s="24"/>
      <c r="IMH92" s="24"/>
      <c r="IMI92" s="24"/>
      <c r="IMJ92" s="24"/>
      <c r="IMK92" s="24"/>
      <c r="IML92" s="24"/>
      <c r="IMM92" s="24"/>
      <c r="IMN92" s="24"/>
      <c r="IMO92" s="24"/>
      <c r="IMP92" s="24"/>
      <c r="IMQ92" s="24"/>
      <c r="IMR92" s="24"/>
      <c r="IMS92" s="24"/>
      <c r="IMT92" s="24"/>
      <c r="IMU92" s="24"/>
      <c r="IMV92" s="24"/>
      <c r="IMW92" s="24"/>
      <c r="IMX92" s="24"/>
      <c r="IMY92" s="24"/>
      <c r="IMZ92" s="24"/>
      <c r="INA92" s="24"/>
      <c r="INB92" s="24"/>
      <c r="INC92" s="24"/>
      <c r="IND92" s="24"/>
      <c r="INE92" s="24"/>
      <c r="INF92" s="24"/>
      <c r="ING92" s="24"/>
      <c r="INH92" s="24"/>
      <c r="INI92" s="24"/>
      <c r="INJ92" s="24"/>
      <c r="INK92" s="24"/>
      <c r="INL92" s="24"/>
      <c r="INM92" s="24"/>
      <c r="INN92" s="24"/>
      <c r="INO92" s="24"/>
      <c r="INP92" s="24"/>
      <c r="INQ92" s="24"/>
      <c r="INR92" s="24"/>
      <c r="INS92" s="24"/>
      <c r="INT92" s="24"/>
      <c r="INU92" s="24"/>
      <c r="INV92" s="24"/>
      <c r="INW92" s="24"/>
      <c r="INX92" s="24"/>
      <c r="INY92" s="24"/>
      <c r="INZ92" s="24"/>
      <c r="IOA92" s="24"/>
      <c r="IOB92" s="24"/>
      <c r="IOC92" s="24"/>
      <c r="IOD92" s="24"/>
      <c r="IOE92" s="24"/>
      <c r="IOF92" s="24"/>
      <c r="IOG92" s="24"/>
      <c r="IOH92" s="24"/>
      <c r="IOI92" s="24"/>
      <c r="IOJ92" s="24"/>
      <c r="IOK92" s="24"/>
      <c r="IOL92" s="24"/>
      <c r="IOM92" s="24"/>
      <c r="ION92" s="24"/>
      <c r="IOO92" s="24"/>
      <c r="IOP92" s="24"/>
      <c r="IOQ92" s="24"/>
      <c r="IOR92" s="24"/>
      <c r="IOS92" s="24"/>
      <c r="IOT92" s="24"/>
      <c r="IOU92" s="24"/>
      <c r="IOV92" s="24"/>
      <c r="IOW92" s="24"/>
      <c r="IOX92" s="24"/>
      <c r="IOY92" s="24"/>
      <c r="IOZ92" s="24"/>
      <c r="IPA92" s="24"/>
      <c r="IPB92" s="24"/>
      <c r="IPC92" s="24"/>
      <c r="IPD92" s="24"/>
      <c r="IPE92" s="24"/>
      <c r="IPF92" s="24"/>
      <c r="IPG92" s="24"/>
      <c r="IPH92" s="24"/>
      <c r="IPI92" s="24"/>
      <c r="IPJ92" s="24"/>
      <c r="IPK92" s="24"/>
      <c r="IPL92" s="24"/>
      <c r="IPM92" s="24"/>
      <c r="IPN92" s="24"/>
      <c r="IPO92" s="24"/>
      <c r="IPP92" s="24"/>
      <c r="IPQ92" s="24"/>
      <c r="IPR92" s="24"/>
      <c r="IPS92" s="24"/>
      <c r="IPT92" s="24"/>
      <c r="IPU92" s="24"/>
      <c r="IPV92" s="24"/>
      <c r="IPW92" s="24"/>
      <c r="IPX92" s="24"/>
      <c r="IPY92" s="24"/>
      <c r="IPZ92" s="24"/>
      <c r="IQA92" s="24"/>
      <c r="IQB92" s="24"/>
      <c r="IQC92" s="24"/>
      <c r="IQD92" s="24"/>
      <c r="IQE92" s="24"/>
      <c r="IQF92" s="24"/>
      <c r="IQG92" s="24"/>
      <c r="IQH92" s="24"/>
      <c r="IQI92" s="24"/>
      <c r="IQJ92" s="24"/>
      <c r="IQK92" s="24"/>
      <c r="IQL92" s="24"/>
      <c r="IQM92" s="24"/>
      <c r="IQN92" s="24"/>
      <c r="IQO92" s="24"/>
      <c r="IQP92" s="24"/>
      <c r="IQQ92" s="24"/>
      <c r="IQR92" s="24"/>
      <c r="IQS92" s="24"/>
      <c r="IQT92" s="24"/>
      <c r="IQU92" s="24"/>
      <c r="IQV92" s="24"/>
      <c r="IQW92" s="24"/>
      <c r="IQX92" s="24"/>
      <c r="IQY92" s="24"/>
      <c r="IQZ92" s="24"/>
      <c r="IRA92" s="24"/>
      <c r="IRB92" s="24"/>
      <c r="IRC92" s="24"/>
      <c r="IRD92" s="24"/>
      <c r="IRE92" s="24"/>
      <c r="IRF92" s="24"/>
      <c r="IRG92" s="24"/>
      <c r="IRH92" s="24"/>
      <c r="IRI92" s="24"/>
      <c r="IRJ92" s="24"/>
      <c r="IRK92" s="24"/>
      <c r="IRL92" s="24"/>
      <c r="IRM92" s="24"/>
      <c r="IRN92" s="24"/>
      <c r="IRO92" s="24"/>
      <c r="IRP92" s="24"/>
      <c r="IRQ92" s="24"/>
      <c r="IRR92" s="24"/>
      <c r="IRS92" s="24"/>
      <c r="IRT92" s="24"/>
      <c r="IRU92" s="24"/>
      <c r="IRV92" s="24"/>
      <c r="IRW92" s="24"/>
      <c r="IRX92" s="24"/>
      <c r="IRY92" s="24"/>
      <c r="IRZ92" s="24"/>
      <c r="ISA92" s="24"/>
      <c r="ISB92" s="24"/>
      <c r="ISC92" s="24"/>
      <c r="ISD92" s="24"/>
      <c r="ISE92" s="24"/>
      <c r="ISF92" s="24"/>
      <c r="ISG92" s="24"/>
      <c r="ISH92" s="24"/>
      <c r="ISI92" s="24"/>
      <c r="ISJ92" s="24"/>
      <c r="ISK92" s="24"/>
      <c r="ISL92" s="24"/>
      <c r="ISM92" s="24"/>
      <c r="ISN92" s="24"/>
      <c r="ISO92" s="24"/>
      <c r="ISP92" s="24"/>
      <c r="ISQ92" s="24"/>
      <c r="ISR92" s="24"/>
      <c r="ISS92" s="24"/>
      <c r="IST92" s="24"/>
      <c r="ISU92" s="24"/>
      <c r="ISV92" s="24"/>
      <c r="ISW92" s="24"/>
      <c r="ISX92" s="24"/>
      <c r="ISY92" s="24"/>
      <c r="ISZ92" s="24"/>
      <c r="ITA92" s="24"/>
      <c r="ITB92" s="24"/>
      <c r="ITC92" s="24"/>
      <c r="ITD92" s="24"/>
      <c r="ITE92" s="24"/>
      <c r="ITF92" s="24"/>
      <c r="ITG92" s="24"/>
      <c r="ITH92" s="24"/>
      <c r="ITI92" s="24"/>
      <c r="ITJ92" s="24"/>
      <c r="ITK92" s="24"/>
      <c r="ITL92" s="24"/>
      <c r="ITM92" s="24"/>
      <c r="ITN92" s="24"/>
      <c r="ITO92" s="24"/>
      <c r="ITP92" s="24"/>
      <c r="ITQ92" s="24"/>
      <c r="ITR92" s="24"/>
      <c r="ITS92" s="24"/>
      <c r="ITT92" s="24"/>
      <c r="ITU92" s="24"/>
      <c r="ITV92" s="24"/>
      <c r="ITW92" s="24"/>
      <c r="ITX92" s="24"/>
      <c r="ITY92" s="24"/>
      <c r="ITZ92" s="24"/>
      <c r="IUA92" s="24"/>
      <c r="IUB92" s="24"/>
      <c r="IUC92" s="24"/>
      <c r="IUD92" s="24"/>
      <c r="IUE92" s="24"/>
      <c r="IUF92" s="24"/>
      <c r="IUG92" s="24"/>
      <c r="IUH92" s="24"/>
      <c r="IUI92" s="24"/>
      <c r="IUJ92" s="24"/>
      <c r="IUK92" s="24"/>
      <c r="IUL92" s="24"/>
      <c r="IUM92" s="24"/>
      <c r="IUN92" s="24"/>
      <c r="IUO92" s="24"/>
      <c r="IUP92" s="24"/>
      <c r="IUQ92" s="24"/>
      <c r="IUR92" s="24"/>
      <c r="IUS92" s="24"/>
      <c r="IUT92" s="24"/>
      <c r="IUU92" s="24"/>
      <c r="IUV92" s="24"/>
      <c r="IUW92" s="24"/>
      <c r="IUX92" s="24"/>
      <c r="IUY92" s="24"/>
      <c r="IUZ92" s="24"/>
      <c r="IVA92" s="24"/>
      <c r="IVB92" s="24"/>
      <c r="IVC92" s="24"/>
      <c r="IVD92" s="24"/>
      <c r="IVE92" s="24"/>
      <c r="IVF92" s="24"/>
      <c r="IVG92" s="24"/>
      <c r="IVH92" s="24"/>
      <c r="IVI92" s="24"/>
      <c r="IVJ92" s="24"/>
      <c r="IVK92" s="24"/>
      <c r="IVL92" s="24"/>
      <c r="IVM92" s="24"/>
      <c r="IVN92" s="24"/>
      <c r="IVO92" s="24"/>
      <c r="IVP92" s="24"/>
      <c r="IVQ92" s="24"/>
      <c r="IVR92" s="24"/>
      <c r="IVS92" s="24"/>
      <c r="IVT92" s="24"/>
      <c r="IVU92" s="24"/>
      <c r="IVV92" s="24"/>
      <c r="IVW92" s="24"/>
      <c r="IVX92" s="24"/>
      <c r="IVY92" s="24"/>
      <c r="IVZ92" s="24"/>
      <c r="IWA92" s="24"/>
      <c r="IWB92" s="24"/>
      <c r="IWC92" s="24"/>
      <c r="IWD92" s="24"/>
      <c r="IWE92" s="24"/>
      <c r="IWF92" s="24"/>
      <c r="IWG92" s="24"/>
      <c r="IWH92" s="24"/>
      <c r="IWI92" s="24"/>
      <c r="IWJ92" s="24"/>
      <c r="IWK92" s="24"/>
      <c r="IWL92" s="24"/>
      <c r="IWM92" s="24"/>
      <c r="IWN92" s="24"/>
      <c r="IWO92" s="24"/>
      <c r="IWP92" s="24"/>
      <c r="IWQ92" s="24"/>
      <c r="IWR92" s="24"/>
      <c r="IWS92" s="24"/>
      <c r="IWT92" s="24"/>
      <c r="IWU92" s="24"/>
      <c r="IWV92" s="24"/>
      <c r="IWW92" s="24"/>
      <c r="IWX92" s="24"/>
      <c r="IWY92" s="24"/>
      <c r="IWZ92" s="24"/>
      <c r="IXA92" s="24"/>
      <c r="IXB92" s="24"/>
      <c r="IXC92" s="24"/>
      <c r="IXD92" s="24"/>
      <c r="IXE92" s="24"/>
      <c r="IXF92" s="24"/>
      <c r="IXG92" s="24"/>
      <c r="IXH92" s="24"/>
      <c r="IXI92" s="24"/>
      <c r="IXJ92" s="24"/>
      <c r="IXK92" s="24"/>
      <c r="IXL92" s="24"/>
      <c r="IXM92" s="24"/>
      <c r="IXN92" s="24"/>
      <c r="IXO92" s="24"/>
      <c r="IXP92" s="24"/>
      <c r="IXQ92" s="24"/>
      <c r="IXR92" s="24"/>
      <c r="IXS92" s="24"/>
      <c r="IXT92" s="24"/>
      <c r="IXU92" s="24"/>
      <c r="IXV92" s="24"/>
      <c r="IXW92" s="24"/>
      <c r="IXX92" s="24"/>
      <c r="IXY92" s="24"/>
      <c r="IXZ92" s="24"/>
      <c r="IYA92" s="24"/>
      <c r="IYB92" s="24"/>
      <c r="IYC92" s="24"/>
      <c r="IYD92" s="24"/>
      <c r="IYE92" s="24"/>
      <c r="IYF92" s="24"/>
      <c r="IYG92" s="24"/>
      <c r="IYH92" s="24"/>
      <c r="IYI92" s="24"/>
      <c r="IYJ92" s="24"/>
      <c r="IYK92" s="24"/>
      <c r="IYL92" s="24"/>
      <c r="IYM92" s="24"/>
      <c r="IYN92" s="24"/>
      <c r="IYO92" s="24"/>
      <c r="IYP92" s="24"/>
      <c r="IYQ92" s="24"/>
      <c r="IYR92" s="24"/>
      <c r="IYS92" s="24"/>
      <c r="IYT92" s="24"/>
      <c r="IYU92" s="24"/>
      <c r="IYV92" s="24"/>
      <c r="IYW92" s="24"/>
      <c r="IYX92" s="24"/>
      <c r="IYY92" s="24"/>
      <c r="IYZ92" s="24"/>
      <c r="IZA92" s="24"/>
      <c r="IZB92" s="24"/>
      <c r="IZC92" s="24"/>
      <c r="IZD92" s="24"/>
      <c r="IZE92" s="24"/>
      <c r="IZF92" s="24"/>
      <c r="IZG92" s="24"/>
      <c r="IZH92" s="24"/>
      <c r="IZI92" s="24"/>
      <c r="IZJ92" s="24"/>
      <c r="IZK92" s="24"/>
      <c r="IZL92" s="24"/>
      <c r="IZM92" s="24"/>
      <c r="IZN92" s="24"/>
      <c r="IZO92" s="24"/>
      <c r="IZP92" s="24"/>
      <c r="IZQ92" s="24"/>
      <c r="IZR92" s="24"/>
      <c r="IZS92" s="24"/>
      <c r="IZT92" s="24"/>
      <c r="IZU92" s="24"/>
      <c r="IZV92" s="24"/>
      <c r="IZW92" s="24"/>
      <c r="IZX92" s="24"/>
      <c r="IZY92" s="24"/>
      <c r="IZZ92" s="24"/>
      <c r="JAA92" s="24"/>
      <c r="JAB92" s="24"/>
      <c r="JAC92" s="24"/>
      <c r="JAD92" s="24"/>
      <c r="JAE92" s="24"/>
      <c r="JAF92" s="24"/>
      <c r="JAG92" s="24"/>
      <c r="JAH92" s="24"/>
      <c r="JAI92" s="24"/>
      <c r="JAJ92" s="24"/>
      <c r="JAK92" s="24"/>
      <c r="JAL92" s="24"/>
      <c r="JAM92" s="24"/>
      <c r="JAN92" s="24"/>
      <c r="JAO92" s="24"/>
      <c r="JAP92" s="24"/>
      <c r="JAQ92" s="24"/>
      <c r="JAR92" s="24"/>
      <c r="JAS92" s="24"/>
      <c r="JAT92" s="24"/>
      <c r="JAU92" s="24"/>
      <c r="JAV92" s="24"/>
      <c r="JAW92" s="24"/>
      <c r="JAX92" s="24"/>
      <c r="JAY92" s="24"/>
      <c r="JAZ92" s="24"/>
      <c r="JBA92" s="24"/>
      <c r="JBB92" s="24"/>
      <c r="JBC92" s="24"/>
      <c r="JBD92" s="24"/>
      <c r="JBE92" s="24"/>
      <c r="JBF92" s="24"/>
      <c r="JBG92" s="24"/>
      <c r="JBH92" s="24"/>
      <c r="JBI92" s="24"/>
      <c r="JBJ92" s="24"/>
      <c r="JBK92" s="24"/>
      <c r="JBL92" s="24"/>
      <c r="JBM92" s="24"/>
      <c r="JBN92" s="24"/>
      <c r="JBO92" s="24"/>
      <c r="JBP92" s="24"/>
      <c r="JBQ92" s="24"/>
      <c r="JBR92" s="24"/>
      <c r="JBS92" s="24"/>
      <c r="JBT92" s="24"/>
      <c r="JBU92" s="24"/>
      <c r="JBV92" s="24"/>
      <c r="JBW92" s="24"/>
      <c r="JBX92" s="24"/>
      <c r="JBY92" s="24"/>
      <c r="JBZ92" s="24"/>
      <c r="JCA92" s="24"/>
      <c r="JCB92" s="24"/>
      <c r="JCC92" s="24"/>
      <c r="JCD92" s="24"/>
      <c r="JCE92" s="24"/>
      <c r="JCF92" s="24"/>
      <c r="JCG92" s="24"/>
      <c r="JCH92" s="24"/>
      <c r="JCI92" s="24"/>
      <c r="JCJ92" s="24"/>
      <c r="JCK92" s="24"/>
      <c r="JCL92" s="24"/>
      <c r="JCM92" s="24"/>
      <c r="JCN92" s="24"/>
      <c r="JCO92" s="24"/>
      <c r="JCP92" s="24"/>
      <c r="JCQ92" s="24"/>
      <c r="JCR92" s="24"/>
      <c r="JCS92" s="24"/>
      <c r="JCT92" s="24"/>
      <c r="JCU92" s="24"/>
      <c r="JCV92" s="24"/>
      <c r="JCW92" s="24"/>
      <c r="JCX92" s="24"/>
      <c r="JCY92" s="24"/>
      <c r="JCZ92" s="24"/>
      <c r="JDA92" s="24"/>
      <c r="JDB92" s="24"/>
      <c r="JDC92" s="24"/>
      <c r="JDD92" s="24"/>
      <c r="JDE92" s="24"/>
      <c r="JDF92" s="24"/>
      <c r="JDG92" s="24"/>
      <c r="JDH92" s="24"/>
      <c r="JDI92" s="24"/>
      <c r="JDJ92" s="24"/>
      <c r="JDK92" s="24"/>
      <c r="JDL92" s="24"/>
      <c r="JDM92" s="24"/>
      <c r="JDN92" s="24"/>
      <c r="JDO92" s="24"/>
      <c r="JDP92" s="24"/>
      <c r="JDQ92" s="24"/>
      <c r="JDR92" s="24"/>
      <c r="JDS92" s="24"/>
      <c r="JDT92" s="24"/>
      <c r="JDU92" s="24"/>
      <c r="JDV92" s="24"/>
      <c r="JDW92" s="24"/>
      <c r="JDX92" s="24"/>
      <c r="JDY92" s="24"/>
      <c r="JDZ92" s="24"/>
      <c r="JEA92" s="24"/>
      <c r="JEB92" s="24"/>
      <c r="JEC92" s="24"/>
      <c r="JED92" s="24"/>
      <c r="JEE92" s="24"/>
      <c r="JEF92" s="24"/>
      <c r="JEG92" s="24"/>
      <c r="JEH92" s="24"/>
      <c r="JEI92" s="24"/>
      <c r="JEJ92" s="24"/>
      <c r="JEK92" s="24"/>
      <c r="JEL92" s="24"/>
      <c r="JEM92" s="24"/>
      <c r="JEN92" s="24"/>
      <c r="JEO92" s="24"/>
      <c r="JEP92" s="24"/>
      <c r="JEQ92" s="24"/>
      <c r="JER92" s="24"/>
      <c r="JES92" s="24"/>
      <c r="JET92" s="24"/>
      <c r="JEU92" s="24"/>
      <c r="JEV92" s="24"/>
      <c r="JEW92" s="24"/>
      <c r="JEX92" s="24"/>
      <c r="JEY92" s="24"/>
      <c r="JEZ92" s="24"/>
      <c r="JFA92" s="24"/>
      <c r="JFB92" s="24"/>
      <c r="JFC92" s="24"/>
      <c r="JFD92" s="24"/>
      <c r="JFE92" s="24"/>
      <c r="JFF92" s="24"/>
      <c r="JFG92" s="24"/>
      <c r="JFH92" s="24"/>
      <c r="JFI92" s="24"/>
      <c r="JFJ92" s="24"/>
      <c r="JFK92" s="24"/>
      <c r="JFL92" s="24"/>
      <c r="JFM92" s="24"/>
      <c r="JFN92" s="24"/>
      <c r="JFO92" s="24"/>
      <c r="JFP92" s="24"/>
      <c r="JFQ92" s="24"/>
      <c r="JFR92" s="24"/>
      <c r="JFS92" s="24"/>
      <c r="JFT92" s="24"/>
      <c r="JFU92" s="24"/>
      <c r="JFV92" s="24"/>
      <c r="JFW92" s="24"/>
      <c r="JFX92" s="24"/>
      <c r="JFY92" s="24"/>
      <c r="JFZ92" s="24"/>
      <c r="JGA92" s="24"/>
      <c r="JGB92" s="24"/>
      <c r="JGC92" s="24"/>
      <c r="JGD92" s="24"/>
      <c r="JGE92" s="24"/>
      <c r="JGF92" s="24"/>
      <c r="JGG92" s="24"/>
      <c r="JGH92" s="24"/>
      <c r="JGI92" s="24"/>
      <c r="JGJ92" s="24"/>
      <c r="JGK92" s="24"/>
      <c r="JGL92" s="24"/>
      <c r="JGM92" s="24"/>
      <c r="JGN92" s="24"/>
      <c r="JGO92" s="24"/>
      <c r="JGP92" s="24"/>
      <c r="JGQ92" s="24"/>
      <c r="JGR92" s="24"/>
      <c r="JGS92" s="24"/>
      <c r="JGT92" s="24"/>
      <c r="JGU92" s="24"/>
      <c r="JGV92" s="24"/>
      <c r="JGW92" s="24"/>
      <c r="JGX92" s="24"/>
      <c r="JGY92" s="24"/>
      <c r="JGZ92" s="24"/>
      <c r="JHA92" s="24"/>
      <c r="JHB92" s="24"/>
      <c r="JHC92" s="24"/>
      <c r="JHD92" s="24"/>
      <c r="JHE92" s="24"/>
      <c r="JHF92" s="24"/>
      <c r="JHG92" s="24"/>
      <c r="JHH92" s="24"/>
      <c r="JHI92" s="24"/>
      <c r="JHJ92" s="24"/>
      <c r="JHK92" s="24"/>
      <c r="JHL92" s="24"/>
      <c r="JHM92" s="24"/>
      <c r="JHN92" s="24"/>
      <c r="JHO92" s="24"/>
      <c r="JHP92" s="24"/>
      <c r="JHQ92" s="24"/>
      <c r="JHR92" s="24"/>
      <c r="JHS92" s="24"/>
      <c r="JHT92" s="24"/>
      <c r="JHU92" s="24"/>
      <c r="JHV92" s="24"/>
      <c r="JHW92" s="24"/>
      <c r="JHX92" s="24"/>
      <c r="JHY92" s="24"/>
      <c r="JHZ92" s="24"/>
      <c r="JIA92" s="24"/>
      <c r="JIB92" s="24"/>
      <c r="JIC92" s="24"/>
      <c r="JID92" s="24"/>
      <c r="JIE92" s="24"/>
      <c r="JIF92" s="24"/>
      <c r="JIG92" s="24"/>
      <c r="JIH92" s="24"/>
      <c r="JII92" s="24"/>
      <c r="JIJ92" s="24"/>
      <c r="JIK92" s="24"/>
      <c r="JIL92" s="24"/>
      <c r="JIM92" s="24"/>
      <c r="JIN92" s="24"/>
      <c r="JIO92" s="24"/>
      <c r="JIP92" s="24"/>
      <c r="JIQ92" s="24"/>
      <c r="JIR92" s="24"/>
      <c r="JIS92" s="24"/>
      <c r="JIT92" s="24"/>
      <c r="JIU92" s="24"/>
      <c r="JIV92" s="24"/>
      <c r="JIW92" s="24"/>
      <c r="JIX92" s="24"/>
      <c r="JIY92" s="24"/>
      <c r="JIZ92" s="24"/>
      <c r="JJA92" s="24"/>
      <c r="JJB92" s="24"/>
      <c r="JJC92" s="24"/>
      <c r="JJD92" s="24"/>
      <c r="JJE92" s="24"/>
      <c r="JJF92" s="24"/>
      <c r="JJG92" s="24"/>
      <c r="JJH92" s="24"/>
      <c r="JJI92" s="24"/>
      <c r="JJJ92" s="24"/>
      <c r="JJK92" s="24"/>
      <c r="JJL92" s="24"/>
      <c r="JJM92" s="24"/>
      <c r="JJN92" s="24"/>
      <c r="JJO92" s="24"/>
      <c r="JJP92" s="24"/>
      <c r="JJQ92" s="24"/>
      <c r="JJR92" s="24"/>
      <c r="JJS92" s="24"/>
      <c r="JJT92" s="24"/>
      <c r="JJU92" s="24"/>
      <c r="JJV92" s="24"/>
      <c r="JJW92" s="24"/>
      <c r="JJX92" s="24"/>
      <c r="JJY92" s="24"/>
      <c r="JJZ92" s="24"/>
      <c r="JKA92" s="24"/>
      <c r="JKB92" s="24"/>
      <c r="JKC92" s="24"/>
      <c r="JKD92" s="24"/>
      <c r="JKE92" s="24"/>
      <c r="JKF92" s="24"/>
      <c r="JKG92" s="24"/>
      <c r="JKH92" s="24"/>
      <c r="JKI92" s="24"/>
      <c r="JKJ92" s="24"/>
      <c r="JKK92" s="24"/>
      <c r="JKL92" s="24"/>
      <c r="JKM92" s="24"/>
      <c r="JKN92" s="24"/>
      <c r="JKO92" s="24"/>
      <c r="JKP92" s="24"/>
      <c r="JKQ92" s="24"/>
      <c r="JKR92" s="24"/>
      <c r="JKS92" s="24"/>
      <c r="JKT92" s="24"/>
      <c r="JKU92" s="24"/>
      <c r="JKV92" s="24"/>
      <c r="JKW92" s="24"/>
      <c r="JKX92" s="24"/>
      <c r="JKY92" s="24"/>
      <c r="JKZ92" s="24"/>
      <c r="JLA92" s="24"/>
      <c r="JLB92" s="24"/>
      <c r="JLC92" s="24"/>
      <c r="JLD92" s="24"/>
      <c r="JLE92" s="24"/>
      <c r="JLF92" s="24"/>
      <c r="JLG92" s="24"/>
      <c r="JLH92" s="24"/>
      <c r="JLI92" s="24"/>
      <c r="JLJ92" s="24"/>
      <c r="JLK92" s="24"/>
      <c r="JLL92" s="24"/>
      <c r="JLM92" s="24"/>
      <c r="JLN92" s="24"/>
      <c r="JLO92" s="24"/>
      <c r="JLP92" s="24"/>
      <c r="JLQ92" s="24"/>
      <c r="JLR92" s="24"/>
      <c r="JLS92" s="24"/>
      <c r="JLT92" s="24"/>
      <c r="JLU92" s="24"/>
      <c r="JLV92" s="24"/>
      <c r="JLW92" s="24"/>
      <c r="JLX92" s="24"/>
      <c r="JLY92" s="24"/>
      <c r="JLZ92" s="24"/>
      <c r="JMA92" s="24"/>
      <c r="JMB92" s="24"/>
      <c r="JMC92" s="24"/>
      <c r="JMD92" s="24"/>
      <c r="JME92" s="24"/>
      <c r="JMF92" s="24"/>
      <c r="JMG92" s="24"/>
      <c r="JMH92" s="24"/>
      <c r="JMI92" s="24"/>
      <c r="JMJ92" s="24"/>
      <c r="JMK92" s="24"/>
      <c r="JML92" s="24"/>
      <c r="JMM92" s="24"/>
      <c r="JMN92" s="24"/>
      <c r="JMO92" s="24"/>
      <c r="JMP92" s="24"/>
      <c r="JMQ92" s="24"/>
      <c r="JMR92" s="24"/>
      <c r="JMS92" s="24"/>
      <c r="JMT92" s="24"/>
      <c r="JMU92" s="24"/>
      <c r="JMV92" s="24"/>
      <c r="JMW92" s="24"/>
      <c r="JMX92" s="24"/>
      <c r="JMY92" s="24"/>
      <c r="JMZ92" s="24"/>
      <c r="JNA92" s="24"/>
      <c r="JNB92" s="24"/>
      <c r="JNC92" s="24"/>
      <c r="JND92" s="24"/>
      <c r="JNE92" s="24"/>
      <c r="JNF92" s="24"/>
      <c r="JNG92" s="24"/>
      <c r="JNH92" s="24"/>
      <c r="JNI92" s="24"/>
      <c r="JNJ92" s="24"/>
      <c r="JNK92" s="24"/>
      <c r="JNL92" s="24"/>
      <c r="JNM92" s="24"/>
      <c r="JNN92" s="24"/>
      <c r="JNO92" s="24"/>
      <c r="JNP92" s="24"/>
      <c r="JNQ92" s="24"/>
      <c r="JNR92" s="24"/>
      <c r="JNS92" s="24"/>
      <c r="JNT92" s="24"/>
      <c r="JNU92" s="24"/>
      <c r="JNV92" s="24"/>
      <c r="JNW92" s="24"/>
      <c r="JNX92" s="24"/>
      <c r="JNY92" s="24"/>
      <c r="JNZ92" s="24"/>
      <c r="JOA92" s="24"/>
      <c r="JOB92" s="24"/>
      <c r="JOC92" s="24"/>
      <c r="JOD92" s="24"/>
      <c r="JOE92" s="24"/>
      <c r="JOF92" s="24"/>
      <c r="JOG92" s="24"/>
      <c r="JOH92" s="24"/>
      <c r="JOI92" s="24"/>
      <c r="JOJ92" s="24"/>
      <c r="JOK92" s="24"/>
      <c r="JOL92" s="24"/>
      <c r="JOM92" s="24"/>
      <c r="JON92" s="24"/>
      <c r="JOO92" s="24"/>
      <c r="JOP92" s="24"/>
      <c r="JOQ92" s="24"/>
      <c r="JOR92" s="24"/>
      <c r="JOS92" s="24"/>
      <c r="JOT92" s="24"/>
      <c r="JOU92" s="24"/>
      <c r="JOV92" s="24"/>
      <c r="JOW92" s="24"/>
      <c r="JOX92" s="24"/>
      <c r="JOY92" s="24"/>
      <c r="JOZ92" s="24"/>
      <c r="JPA92" s="24"/>
      <c r="JPB92" s="24"/>
      <c r="JPC92" s="24"/>
      <c r="JPD92" s="24"/>
      <c r="JPE92" s="24"/>
      <c r="JPF92" s="24"/>
      <c r="JPG92" s="24"/>
      <c r="JPH92" s="24"/>
      <c r="JPI92" s="24"/>
      <c r="JPJ92" s="24"/>
      <c r="JPK92" s="24"/>
      <c r="JPL92" s="24"/>
      <c r="JPM92" s="24"/>
      <c r="JPN92" s="24"/>
      <c r="JPO92" s="24"/>
      <c r="JPP92" s="24"/>
      <c r="JPQ92" s="24"/>
      <c r="JPR92" s="24"/>
      <c r="JPS92" s="24"/>
      <c r="JPT92" s="24"/>
      <c r="JPU92" s="24"/>
      <c r="JPV92" s="24"/>
      <c r="JPW92" s="24"/>
      <c r="JPX92" s="24"/>
      <c r="JPY92" s="24"/>
      <c r="JPZ92" s="24"/>
      <c r="JQA92" s="24"/>
      <c r="JQB92" s="24"/>
      <c r="JQC92" s="24"/>
      <c r="JQD92" s="24"/>
      <c r="JQE92" s="24"/>
      <c r="JQF92" s="24"/>
      <c r="JQG92" s="24"/>
      <c r="JQH92" s="24"/>
      <c r="JQI92" s="24"/>
      <c r="JQJ92" s="24"/>
      <c r="JQK92" s="24"/>
      <c r="JQL92" s="24"/>
      <c r="JQM92" s="24"/>
      <c r="JQN92" s="24"/>
      <c r="JQO92" s="24"/>
      <c r="JQP92" s="24"/>
      <c r="JQQ92" s="24"/>
      <c r="JQR92" s="24"/>
      <c r="JQS92" s="24"/>
      <c r="JQT92" s="24"/>
      <c r="JQU92" s="24"/>
      <c r="JQV92" s="24"/>
      <c r="JQW92" s="24"/>
      <c r="JQX92" s="24"/>
      <c r="JQY92" s="24"/>
      <c r="JQZ92" s="24"/>
      <c r="JRA92" s="24"/>
      <c r="JRB92" s="24"/>
      <c r="JRC92" s="24"/>
      <c r="JRD92" s="24"/>
      <c r="JRE92" s="24"/>
      <c r="JRF92" s="24"/>
      <c r="JRG92" s="24"/>
      <c r="JRH92" s="24"/>
      <c r="JRI92" s="24"/>
      <c r="JRJ92" s="24"/>
      <c r="JRK92" s="24"/>
      <c r="JRL92" s="24"/>
      <c r="JRM92" s="24"/>
      <c r="JRN92" s="24"/>
      <c r="JRO92" s="24"/>
      <c r="JRP92" s="24"/>
      <c r="JRQ92" s="24"/>
      <c r="JRR92" s="24"/>
      <c r="JRS92" s="24"/>
      <c r="JRT92" s="24"/>
      <c r="JRU92" s="24"/>
      <c r="JRV92" s="24"/>
      <c r="JRW92" s="24"/>
      <c r="JRX92" s="24"/>
      <c r="JRY92" s="24"/>
      <c r="JRZ92" s="24"/>
      <c r="JSA92" s="24"/>
      <c r="JSB92" s="24"/>
      <c r="JSC92" s="24"/>
      <c r="JSD92" s="24"/>
      <c r="JSE92" s="24"/>
      <c r="JSF92" s="24"/>
      <c r="JSG92" s="24"/>
      <c r="JSH92" s="24"/>
      <c r="JSI92" s="24"/>
      <c r="JSJ92" s="24"/>
      <c r="JSK92" s="24"/>
      <c r="JSL92" s="24"/>
      <c r="JSM92" s="24"/>
      <c r="JSN92" s="24"/>
      <c r="JSO92" s="24"/>
      <c r="JSP92" s="24"/>
      <c r="JSQ92" s="24"/>
      <c r="JSR92" s="24"/>
      <c r="JSS92" s="24"/>
      <c r="JST92" s="24"/>
      <c r="JSU92" s="24"/>
      <c r="JSV92" s="24"/>
      <c r="JSW92" s="24"/>
      <c r="JSX92" s="24"/>
      <c r="JSY92" s="24"/>
      <c r="JSZ92" s="24"/>
      <c r="JTA92" s="24"/>
      <c r="JTB92" s="24"/>
      <c r="JTC92" s="24"/>
      <c r="JTD92" s="24"/>
      <c r="JTE92" s="24"/>
      <c r="JTF92" s="24"/>
      <c r="JTG92" s="24"/>
      <c r="JTH92" s="24"/>
      <c r="JTI92" s="24"/>
      <c r="JTJ92" s="24"/>
      <c r="JTK92" s="24"/>
      <c r="JTL92" s="24"/>
      <c r="JTM92" s="24"/>
      <c r="JTN92" s="24"/>
      <c r="JTO92" s="24"/>
      <c r="JTP92" s="24"/>
      <c r="JTQ92" s="24"/>
      <c r="JTR92" s="24"/>
      <c r="JTS92" s="24"/>
      <c r="JTT92" s="24"/>
      <c r="JTU92" s="24"/>
      <c r="JTV92" s="24"/>
      <c r="JTW92" s="24"/>
      <c r="JTX92" s="24"/>
      <c r="JTY92" s="24"/>
      <c r="JTZ92" s="24"/>
      <c r="JUA92" s="24"/>
      <c r="JUB92" s="24"/>
      <c r="JUC92" s="24"/>
      <c r="JUD92" s="24"/>
      <c r="JUE92" s="24"/>
      <c r="JUF92" s="24"/>
      <c r="JUG92" s="24"/>
      <c r="JUH92" s="24"/>
      <c r="JUI92" s="24"/>
      <c r="JUJ92" s="24"/>
      <c r="JUK92" s="24"/>
      <c r="JUL92" s="24"/>
      <c r="JUM92" s="24"/>
      <c r="JUN92" s="24"/>
      <c r="JUO92" s="24"/>
      <c r="JUP92" s="24"/>
      <c r="JUQ92" s="24"/>
      <c r="JUR92" s="24"/>
      <c r="JUS92" s="24"/>
      <c r="JUT92" s="24"/>
      <c r="JUU92" s="24"/>
      <c r="JUV92" s="24"/>
      <c r="JUW92" s="24"/>
      <c r="JUX92" s="24"/>
      <c r="JUY92" s="24"/>
      <c r="JUZ92" s="24"/>
      <c r="JVA92" s="24"/>
      <c r="JVB92" s="24"/>
      <c r="JVC92" s="24"/>
      <c r="JVD92" s="24"/>
      <c r="JVE92" s="24"/>
      <c r="JVF92" s="24"/>
      <c r="JVG92" s="24"/>
      <c r="JVH92" s="24"/>
      <c r="JVI92" s="24"/>
      <c r="JVJ92" s="24"/>
      <c r="JVK92" s="24"/>
      <c r="JVL92" s="24"/>
      <c r="JVM92" s="24"/>
      <c r="JVN92" s="24"/>
      <c r="JVO92" s="24"/>
      <c r="JVP92" s="24"/>
      <c r="JVQ92" s="24"/>
      <c r="JVR92" s="24"/>
      <c r="JVS92" s="24"/>
      <c r="JVT92" s="24"/>
      <c r="JVU92" s="24"/>
      <c r="JVV92" s="24"/>
      <c r="JVW92" s="24"/>
      <c r="JVX92" s="24"/>
      <c r="JVY92" s="24"/>
      <c r="JVZ92" s="24"/>
      <c r="JWA92" s="24"/>
      <c r="JWB92" s="24"/>
      <c r="JWC92" s="24"/>
      <c r="JWD92" s="24"/>
      <c r="JWE92" s="24"/>
      <c r="JWF92" s="24"/>
      <c r="JWG92" s="24"/>
      <c r="JWH92" s="24"/>
      <c r="JWI92" s="24"/>
      <c r="JWJ92" s="24"/>
      <c r="JWK92" s="24"/>
      <c r="JWL92" s="24"/>
      <c r="JWM92" s="24"/>
      <c r="JWN92" s="24"/>
      <c r="JWO92" s="24"/>
      <c r="JWP92" s="24"/>
      <c r="JWQ92" s="24"/>
      <c r="JWR92" s="24"/>
      <c r="JWS92" s="24"/>
      <c r="JWT92" s="24"/>
      <c r="JWU92" s="24"/>
      <c r="JWV92" s="24"/>
      <c r="JWW92" s="24"/>
      <c r="JWX92" s="24"/>
      <c r="JWY92" s="24"/>
      <c r="JWZ92" s="24"/>
      <c r="JXA92" s="24"/>
      <c r="JXB92" s="24"/>
      <c r="JXC92" s="24"/>
      <c r="JXD92" s="24"/>
      <c r="JXE92" s="24"/>
      <c r="JXF92" s="24"/>
      <c r="JXG92" s="24"/>
      <c r="JXH92" s="24"/>
      <c r="JXI92" s="24"/>
      <c r="JXJ92" s="24"/>
      <c r="JXK92" s="24"/>
      <c r="JXL92" s="24"/>
      <c r="JXM92" s="24"/>
      <c r="JXN92" s="24"/>
      <c r="JXO92" s="24"/>
      <c r="JXP92" s="24"/>
      <c r="JXQ92" s="24"/>
      <c r="JXR92" s="24"/>
      <c r="JXS92" s="24"/>
      <c r="JXT92" s="24"/>
      <c r="JXU92" s="24"/>
      <c r="JXV92" s="24"/>
      <c r="JXW92" s="24"/>
      <c r="JXX92" s="24"/>
      <c r="JXY92" s="24"/>
      <c r="JXZ92" s="24"/>
      <c r="JYA92" s="24"/>
      <c r="JYB92" s="24"/>
      <c r="JYC92" s="24"/>
      <c r="JYD92" s="24"/>
      <c r="JYE92" s="24"/>
      <c r="JYF92" s="24"/>
      <c r="JYG92" s="24"/>
      <c r="JYH92" s="24"/>
      <c r="JYI92" s="24"/>
      <c r="JYJ92" s="24"/>
      <c r="JYK92" s="24"/>
      <c r="JYL92" s="24"/>
      <c r="JYM92" s="24"/>
      <c r="JYN92" s="24"/>
      <c r="JYO92" s="24"/>
      <c r="JYP92" s="24"/>
      <c r="JYQ92" s="24"/>
      <c r="JYR92" s="24"/>
      <c r="JYS92" s="24"/>
      <c r="JYT92" s="24"/>
      <c r="JYU92" s="24"/>
      <c r="JYV92" s="24"/>
      <c r="JYW92" s="24"/>
      <c r="JYX92" s="24"/>
      <c r="JYY92" s="24"/>
      <c r="JYZ92" s="24"/>
      <c r="JZA92" s="24"/>
      <c r="JZB92" s="24"/>
      <c r="JZC92" s="24"/>
      <c r="JZD92" s="24"/>
      <c r="JZE92" s="24"/>
      <c r="JZF92" s="24"/>
      <c r="JZG92" s="24"/>
      <c r="JZH92" s="24"/>
      <c r="JZI92" s="24"/>
      <c r="JZJ92" s="24"/>
      <c r="JZK92" s="24"/>
      <c r="JZL92" s="24"/>
      <c r="JZM92" s="24"/>
      <c r="JZN92" s="24"/>
      <c r="JZO92" s="24"/>
      <c r="JZP92" s="24"/>
      <c r="JZQ92" s="24"/>
      <c r="JZR92" s="24"/>
      <c r="JZS92" s="24"/>
      <c r="JZT92" s="24"/>
      <c r="JZU92" s="24"/>
      <c r="JZV92" s="24"/>
      <c r="JZW92" s="24"/>
      <c r="JZX92" s="24"/>
      <c r="JZY92" s="24"/>
      <c r="JZZ92" s="24"/>
      <c r="KAA92" s="24"/>
      <c r="KAB92" s="24"/>
      <c r="KAC92" s="24"/>
      <c r="KAD92" s="24"/>
      <c r="KAE92" s="24"/>
      <c r="KAF92" s="24"/>
      <c r="KAG92" s="24"/>
      <c r="KAH92" s="24"/>
      <c r="KAI92" s="24"/>
      <c r="KAJ92" s="24"/>
      <c r="KAK92" s="24"/>
      <c r="KAL92" s="24"/>
      <c r="KAM92" s="24"/>
      <c r="KAN92" s="24"/>
      <c r="KAO92" s="24"/>
      <c r="KAP92" s="24"/>
      <c r="KAQ92" s="24"/>
      <c r="KAR92" s="24"/>
      <c r="KAS92" s="24"/>
      <c r="KAT92" s="24"/>
      <c r="KAU92" s="24"/>
      <c r="KAV92" s="24"/>
      <c r="KAW92" s="24"/>
      <c r="KAX92" s="24"/>
      <c r="KAY92" s="24"/>
      <c r="KAZ92" s="24"/>
      <c r="KBA92" s="24"/>
      <c r="KBB92" s="24"/>
      <c r="KBC92" s="24"/>
      <c r="KBD92" s="24"/>
      <c r="KBE92" s="24"/>
      <c r="KBF92" s="24"/>
      <c r="KBG92" s="24"/>
      <c r="KBH92" s="24"/>
      <c r="KBI92" s="24"/>
      <c r="KBJ92" s="24"/>
      <c r="KBK92" s="24"/>
      <c r="KBL92" s="24"/>
      <c r="KBM92" s="24"/>
      <c r="KBN92" s="24"/>
      <c r="KBO92" s="24"/>
      <c r="KBP92" s="24"/>
      <c r="KBQ92" s="24"/>
      <c r="KBR92" s="24"/>
      <c r="KBS92" s="24"/>
      <c r="KBT92" s="24"/>
      <c r="KBU92" s="24"/>
      <c r="KBV92" s="24"/>
      <c r="KBW92" s="24"/>
      <c r="KBX92" s="24"/>
      <c r="KBY92" s="24"/>
      <c r="KBZ92" s="24"/>
      <c r="KCA92" s="24"/>
      <c r="KCB92" s="24"/>
      <c r="KCC92" s="24"/>
      <c r="KCD92" s="24"/>
      <c r="KCE92" s="24"/>
      <c r="KCF92" s="24"/>
      <c r="KCG92" s="24"/>
      <c r="KCH92" s="24"/>
      <c r="KCI92" s="24"/>
      <c r="KCJ92" s="24"/>
      <c r="KCK92" s="24"/>
      <c r="KCL92" s="24"/>
      <c r="KCM92" s="24"/>
      <c r="KCN92" s="24"/>
      <c r="KCO92" s="24"/>
      <c r="KCP92" s="24"/>
      <c r="KCQ92" s="24"/>
      <c r="KCR92" s="24"/>
      <c r="KCS92" s="24"/>
      <c r="KCT92" s="24"/>
      <c r="KCU92" s="24"/>
      <c r="KCV92" s="24"/>
      <c r="KCW92" s="24"/>
      <c r="KCX92" s="24"/>
      <c r="KCY92" s="24"/>
      <c r="KCZ92" s="24"/>
      <c r="KDA92" s="24"/>
      <c r="KDB92" s="24"/>
      <c r="KDC92" s="24"/>
      <c r="KDD92" s="24"/>
      <c r="KDE92" s="24"/>
      <c r="KDF92" s="24"/>
      <c r="KDG92" s="24"/>
      <c r="KDH92" s="24"/>
      <c r="KDI92" s="24"/>
      <c r="KDJ92" s="24"/>
      <c r="KDK92" s="24"/>
      <c r="KDL92" s="24"/>
      <c r="KDM92" s="24"/>
      <c r="KDN92" s="24"/>
      <c r="KDO92" s="24"/>
      <c r="KDP92" s="24"/>
      <c r="KDQ92" s="24"/>
      <c r="KDR92" s="24"/>
      <c r="KDS92" s="24"/>
      <c r="KDT92" s="24"/>
      <c r="KDU92" s="24"/>
      <c r="KDV92" s="24"/>
      <c r="KDW92" s="24"/>
      <c r="KDX92" s="24"/>
      <c r="KDY92" s="24"/>
      <c r="KDZ92" s="24"/>
      <c r="KEA92" s="24"/>
      <c r="KEB92" s="24"/>
      <c r="KEC92" s="24"/>
      <c r="KED92" s="24"/>
      <c r="KEE92" s="24"/>
      <c r="KEF92" s="24"/>
      <c r="KEG92" s="24"/>
      <c r="KEH92" s="24"/>
      <c r="KEI92" s="24"/>
      <c r="KEJ92" s="24"/>
      <c r="KEK92" s="24"/>
      <c r="KEL92" s="24"/>
      <c r="KEM92" s="24"/>
      <c r="KEN92" s="24"/>
      <c r="KEO92" s="24"/>
      <c r="KEP92" s="24"/>
      <c r="KEQ92" s="24"/>
      <c r="KER92" s="24"/>
      <c r="KES92" s="24"/>
      <c r="KET92" s="24"/>
      <c r="KEU92" s="24"/>
      <c r="KEV92" s="24"/>
      <c r="KEW92" s="24"/>
      <c r="KEX92" s="24"/>
      <c r="KEY92" s="24"/>
      <c r="KEZ92" s="24"/>
      <c r="KFA92" s="24"/>
      <c r="KFB92" s="24"/>
      <c r="KFC92" s="24"/>
      <c r="KFD92" s="24"/>
      <c r="KFE92" s="24"/>
      <c r="KFF92" s="24"/>
      <c r="KFG92" s="24"/>
      <c r="KFH92" s="24"/>
      <c r="KFI92" s="24"/>
      <c r="KFJ92" s="24"/>
      <c r="KFK92" s="24"/>
      <c r="KFL92" s="24"/>
      <c r="KFM92" s="24"/>
      <c r="KFN92" s="24"/>
      <c r="KFO92" s="24"/>
      <c r="KFP92" s="24"/>
      <c r="KFQ92" s="24"/>
      <c r="KFR92" s="24"/>
      <c r="KFS92" s="24"/>
      <c r="KFT92" s="24"/>
      <c r="KFU92" s="24"/>
      <c r="KFV92" s="24"/>
      <c r="KFW92" s="24"/>
      <c r="KFX92" s="24"/>
      <c r="KFY92" s="24"/>
      <c r="KFZ92" s="24"/>
      <c r="KGA92" s="24"/>
      <c r="KGB92" s="24"/>
      <c r="KGC92" s="24"/>
      <c r="KGD92" s="24"/>
      <c r="KGE92" s="24"/>
      <c r="KGF92" s="24"/>
      <c r="KGG92" s="24"/>
      <c r="KGH92" s="24"/>
      <c r="KGI92" s="24"/>
      <c r="KGJ92" s="24"/>
      <c r="KGK92" s="24"/>
      <c r="KGL92" s="24"/>
      <c r="KGM92" s="24"/>
      <c r="KGN92" s="24"/>
      <c r="KGO92" s="24"/>
      <c r="KGP92" s="24"/>
      <c r="KGQ92" s="24"/>
      <c r="KGR92" s="24"/>
      <c r="KGS92" s="24"/>
      <c r="KGT92" s="24"/>
      <c r="KGU92" s="24"/>
      <c r="KGV92" s="24"/>
      <c r="KGW92" s="24"/>
      <c r="KGX92" s="24"/>
      <c r="KGY92" s="24"/>
      <c r="KGZ92" s="24"/>
      <c r="KHA92" s="24"/>
      <c r="KHB92" s="24"/>
      <c r="KHC92" s="24"/>
      <c r="KHD92" s="24"/>
      <c r="KHE92" s="24"/>
      <c r="KHF92" s="24"/>
      <c r="KHG92" s="24"/>
      <c r="KHH92" s="24"/>
      <c r="KHI92" s="24"/>
      <c r="KHJ92" s="24"/>
      <c r="KHK92" s="24"/>
      <c r="KHL92" s="24"/>
      <c r="KHM92" s="24"/>
      <c r="KHN92" s="24"/>
      <c r="KHO92" s="24"/>
      <c r="KHP92" s="24"/>
      <c r="KHQ92" s="24"/>
      <c r="KHR92" s="24"/>
      <c r="KHS92" s="24"/>
      <c r="KHT92" s="24"/>
      <c r="KHU92" s="24"/>
      <c r="KHV92" s="24"/>
      <c r="KHW92" s="24"/>
      <c r="KHX92" s="24"/>
      <c r="KHY92" s="24"/>
      <c r="KHZ92" s="24"/>
      <c r="KIA92" s="24"/>
      <c r="KIB92" s="24"/>
      <c r="KIC92" s="24"/>
      <c r="KID92" s="24"/>
      <c r="KIE92" s="24"/>
      <c r="KIF92" s="24"/>
      <c r="KIG92" s="24"/>
      <c r="KIH92" s="24"/>
      <c r="KII92" s="24"/>
      <c r="KIJ92" s="24"/>
      <c r="KIK92" s="24"/>
      <c r="KIL92" s="24"/>
      <c r="KIM92" s="24"/>
      <c r="KIN92" s="24"/>
      <c r="KIO92" s="24"/>
      <c r="KIP92" s="24"/>
      <c r="KIQ92" s="24"/>
      <c r="KIR92" s="24"/>
      <c r="KIS92" s="24"/>
      <c r="KIT92" s="24"/>
      <c r="KIU92" s="24"/>
      <c r="KIV92" s="24"/>
      <c r="KIW92" s="24"/>
      <c r="KIX92" s="24"/>
      <c r="KIY92" s="24"/>
      <c r="KIZ92" s="24"/>
      <c r="KJA92" s="24"/>
      <c r="KJB92" s="24"/>
      <c r="KJC92" s="24"/>
      <c r="KJD92" s="24"/>
      <c r="KJE92" s="24"/>
      <c r="KJF92" s="24"/>
      <c r="KJG92" s="24"/>
      <c r="KJH92" s="24"/>
      <c r="KJI92" s="24"/>
      <c r="KJJ92" s="24"/>
      <c r="KJK92" s="24"/>
      <c r="KJL92" s="24"/>
      <c r="KJM92" s="24"/>
      <c r="KJN92" s="24"/>
      <c r="KJO92" s="24"/>
      <c r="KJP92" s="24"/>
      <c r="KJQ92" s="24"/>
      <c r="KJR92" s="24"/>
      <c r="KJS92" s="24"/>
      <c r="KJT92" s="24"/>
      <c r="KJU92" s="24"/>
      <c r="KJV92" s="24"/>
      <c r="KJW92" s="24"/>
      <c r="KJX92" s="24"/>
      <c r="KJY92" s="24"/>
      <c r="KJZ92" s="24"/>
      <c r="KKA92" s="24"/>
      <c r="KKB92" s="24"/>
      <c r="KKC92" s="24"/>
      <c r="KKD92" s="24"/>
      <c r="KKE92" s="24"/>
      <c r="KKF92" s="24"/>
      <c r="KKG92" s="24"/>
      <c r="KKH92" s="24"/>
      <c r="KKI92" s="24"/>
      <c r="KKJ92" s="24"/>
      <c r="KKK92" s="24"/>
      <c r="KKL92" s="24"/>
      <c r="KKM92" s="24"/>
      <c r="KKN92" s="24"/>
      <c r="KKO92" s="24"/>
      <c r="KKP92" s="24"/>
      <c r="KKQ92" s="24"/>
      <c r="KKR92" s="24"/>
      <c r="KKS92" s="24"/>
      <c r="KKT92" s="24"/>
      <c r="KKU92" s="24"/>
      <c r="KKV92" s="24"/>
      <c r="KKW92" s="24"/>
      <c r="KKX92" s="24"/>
      <c r="KKY92" s="24"/>
      <c r="KKZ92" s="24"/>
      <c r="KLA92" s="24"/>
      <c r="KLB92" s="24"/>
      <c r="KLC92" s="24"/>
      <c r="KLD92" s="24"/>
      <c r="KLE92" s="24"/>
      <c r="KLF92" s="24"/>
      <c r="KLG92" s="24"/>
      <c r="KLH92" s="24"/>
      <c r="KLI92" s="24"/>
      <c r="KLJ92" s="24"/>
      <c r="KLK92" s="24"/>
      <c r="KLL92" s="24"/>
      <c r="KLM92" s="24"/>
      <c r="KLN92" s="24"/>
      <c r="KLO92" s="24"/>
      <c r="KLP92" s="24"/>
      <c r="KLQ92" s="24"/>
      <c r="KLR92" s="24"/>
      <c r="KLS92" s="24"/>
      <c r="KLT92" s="24"/>
      <c r="KLU92" s="24"/>
      <c r="KLV92" s="24"/>
      <c r="KLW92" s="24"/>
      <c r="KLX92" s="24"/>
      <c r="KLY92" s="24"/>
      <c r="KLZ92" s="24"/>
      <c r="KMA92" s="24"/>
      <c r="KMB92" s="24"/>
      <c r="KMC92" s="24"/>
      <c r="KMD92" s="24"/>
      <c r="KME92" s="24"/>
      <c r="KMF92" s="24"/>
      <c r="KMG92" s="24"/>
      <c r="KMH92" s="24"/>
      <c r="KMI92" s="24"/>
      <c r="KMJ92" s="24"/>
      <c r="KMK92" s="24"/>
      <c r="KML92" s="24"/>
      <c r="KMM92" s="24"/>
      <c r="KMN92" s="24"/>
      <c r="KMO92" s="24"/>
      <c r="KMP92" s="24"/>
      <c r="KMQ92" s="24"/>
      <c r="KMR92" s="24"/>
      <c r="KMS92" s="24"/>
      <c r="KMT92" s="24"/>
      <c r="KMU92" s="24"/>
      <c r="KMV92" s="24"/>
      <c r="KMW92" s="24"/>
      <c r="KMX92" s="24"/>
      <c r="KMY92" s="24"/>
      <c r="KMZ92" s="24"/>
      <c r="KNA92" s="24"/>
      <c r="KNB92" s="24"/>
      <c r="KNC92" s="24"/>
      <c r="KND92" s="24"/>
      <c r="KNE92" s="24"/>
      <c r="KNF92" s="24"/>
      <c r="KNG92" s="24"/>
      <c r="KNH92" s="24"/>
      <c r="KNI92" s="24"/>
      <c r="KNJ92" s="24"/>
      <c r="KNK92" s="24"/>
      <c r="KNL92" s="24"/>
      <c r="KNM92" s="24"/>
      <c r="KNN92" s="24"/>
      <c r="KNO92" s="24"/>
      <c r="KNP92" s="24"/>
      <c r="KNQ92" s="24"/>
      <c r="KNR92" s="24"/>
      <c r="KNS92" s="24"/>
      <c r="KNT92" s="24"/>
      <c r="KNU92" s="24"/>
      <c r="KNV92" s="24"/>
      <c r="KNW92" s="24"/>
      <c r="KNX92" s="24"/>
      <c r="KNY92" s="24"/>
      <c r="KNZ92" s="24"/>
      <c r="KOA92" s="24"/>
      <c r="KOB92" s="24"/>
      <c r="KOC92" s="24"/>
      <c r="KOD92" s="24"/>
      <c r="KOE92" s="24"/>
      <c r="KOF92" s="24"/>
      <c r="KOG92" s="24"/>
      <c r="KOH92" s="24"/>
      <c r="KOI92" s="24"/>
      <c r="KOJ92" s="24"/>
      <c r="KOK92" s="24"/>
      <c r="KOL92" s="24"/>
      <c r="KOM92" s="24"/>
      <c r="KON92" s="24"/>
      <c r="KOO92" s="24"/>
      <c r="KOP92" s="24"/>
      <c r="KOQ92" s="24"/>
      <c r="KOR92" s="24"/>
      <c r="KOS92" s="24"/>
      <c r="KOT92" s="24"/>
      <c r="KOU92" s="24"/>
      <c r="KOV92" s="24"/>
      <c r="KOW92" s="24"/>
      <c r="KOX92" s="24"/>
      <c r="KOY92" s="24"/>
      <c r="KOZ92" s="24"/>
      <c r="KPA92" s="24"/>
      <c r="KPB92" s="24"/>
      <c r="KPC92" s="24"/>
      <c r="KPD92" s="24"/>
      <c r="KPE92" s="24"/>
      <c r="KPF92" s="24"/>
      <c r="KPG92" s="24"/>
      <c r="KPH92" s="24"/>
      <c r="KPI92" s="24"/>
      <c r="KPJ92" s="24"/>
      <c r="KPK92" s="24"/>
      <c r="KPL92" s="24"/>
      <c r="KPM92" s="24"/>
      <c r="KPN92" s="24"/>
      <c r="KPO92" s="24"/>
      <c r="KPP92" s="24"/>
      <c r="KPQ92" s="24"/>
      <c r="KPR92" s="24"/>
      <c r="KPS92" s="24"/>
      <c r="KPT92" s="24"/>
      <c r="KPU92" s="24"/>
      <c r="KPV92" s="24"/>
      <c r="KPW92" s="24"/>
      <c r="KPX92" s="24"/>
      <c r="KPY92" s="24"/>
      <c r="KPZ92" s="24"/>
      <c r="KQA92" s="24"/>
      <c r="KQB92" s="24"/>
      <c r="KQC92" s="24"/>
      <c r="KQD92" s="24"/>
      <c r="KQE92" s="24"/>
      <c r="KQF92" s="24"/>
      <c r="KQG92" s="24"/>
      <c r="KQH92" s="24"/>
      <c r="KQI92" s="24"/>
      <c r="KQJ92" s="24"/>
      <c r="KQK92" s="24"/>
      <c r="KQL92" s="24"/>
      <c r="KQM92" s="24"/>
      <c r="KQN92" s="24"/>
      <c r="KQO92" s="24"/>
      <c r="KQP92" s="24"/>
      <c r="KQQ92" s="24"/>
      <c r="KQR92" s="24"/>
      <c r="KQS92" s="24"/>
      <c r="KQT92" s="24"/>
      <c r="KQU92" s="24"/>
      <c r="KQV92" s="24"/>
      <c r="KQW92" s="24"/>
      <c r="KQX92" s="24"/>
      <c r="KQY92" s="24"/>
      <c r="KQZ92" s="24"/>
      <c r="KRA92" s="24"/>
      <c r="KRB92" s="24"/>
      <c r="KRC92" s="24"/>
      <c r="KRD92" s="24"/>
      <c r="KRE92" s="24"/>
      <c r="KRF92" s="24"/>
      <c r="KRG92" s="24"/>
      <c r="KRH92" s="24"/>
      <c r="KRI92" s="24"/>
      <c r="KRJ92" s="24"/>
      <c r="KRK92" s="24"/>
      <c r="KRL92" s="24"/>
      <c r="KRM92" s="24"/>
      <c r="KRN92" s="24"/>
      <c r="KRO92" s="24"/>
      <c r="KRP92" s="24"/>
      <c r="KRQ92" s="24"/>
      <c r="KRR92" s="24"/>
      <c r="KRS92" s="24"/>
      <c r="KRT92" s="24"/>
      <c r="KRU92" s="24"/>
      <c r="KRV92" s="24"/>
      <c r="KRW92" s="24"/>
      <c r="KRX92" s="24"/>
      <c r="KRY92" s="24"/>
      <c r="KRZ92" s="24"/>
      <c r="KSA92" s="24"/>
      <c r="KSB92" s="24"/>
      <c r="KSC92" s="24"/>
      <c r="KSD92" s="24"/>
      <c r="KSE92" s="24"/>
      <c r="KSF92" s="24"/>
      <c r="KSG92" s="24"/>
      <c r="KSH92" s="24"/>
      <c r="KSI92" s="24"/>
      <c r="KSJ92" s="24"/>
      <c r="KSK92" s="24"/>
      <c r="KSL92" s="24"/>
      <c r="KSM92" s="24"/>
      <c r="KSN92" s="24"/>
      <c r="KSO92" s="24"/>
      <c r="KSP92" s="24"/>
      <c r="KSQ92" s="24"/>
      <c r="KSR92" s="24"/>
      <c r="KSS92" s="24"/>
      <c r="KST92" s="24"/>
      <c r="KSU92" s="24"/>
      <c r="KSV92" s="24"/>
      <c r="KSW92" s="24"/>
      <c r="KSX92" s="24"/>
      <c r="KSY92" s="24"/>
      <c r="KSZ92" s="24"/>
      <c r="KTA92" s="24"/>
      <c r="KTB92" s="24"/>
      <c r="KTC92" s="24"/>
      <c r="KTD92" s="24"/>
      <c r="KTE92" s="24"/>
      <c r="KTF92" s="24"/>
      <c r="KTG92" s="24"/>
      <c r="KTH92" s="24"/>
      <c r="KTI92" s="24"/>
      <c r="KTJ92" s="24"/>
      <c r="KTK92" s="24"/>
      <c r="KTL92" s="24"/>
      <c r="KTM92" s="24"/>
      <c r="KTN92" s="24"/>
      <c r="KTO92" s="24"/>
      <c r="KTP92" s="24"/>
      <c r="KTQ92" s="24"/>
      <c r="KTR92" s="24"/>
      <c r="KTS92" s="24"/>
      <c r="KTT92" s="24"/>
      <c r="KTU92" s="24"/>
      <c r="KTV92" s="24"/>
      <c r="KTW92" s="24"/>
      <c r="KTX92" s="24"/>
      <c r="KTY92" s="24"/>
      <c r="KTZ92" s="24"/>
      <c r="KUA92" s="24"/>
      <c r="KUB92" s="24"/>
      <c r="KUC92" s="24"/>
      <c r="KUD92" s="24"/>
      <c r="KUE92" s="24"/>
      <c r="KUF92" s="24"/>
      <c r="KUG92" s="24"/>
      <c r="KUH92" s="24"/>
      <c r="KUI92" s="24"/>
      <c r="KUJ92" s="24"/>
      <c r="KUK92" s="24"/>
      <c r="KUL92" s="24"/>
      <c r="KUM92" s="24"/>
      <c r="KUN92" s="24"/>
      <c r="KUO92" s="24"/>
      <c r="KUP92" s="24"/>
      <c r="KUQ92" s="24"/>
      <c r="KUR92" s="24"/>
      <c r="KUS92" s="24"/>
      <c r="KUT92" s="24"/>
      <c r="KUU92" s="24"/>
      <c r="KUV92" s="24"/>
      <c r="KUW92" s="24"/>
      <c r="KUX92" s="24"/>
      <c r="KUY92" s="24"/>
      <c r="KUZ92" s="24"/>
      <c r="KVA92" s="24"/>
      <c r="KVB92" s="24"/>
      <c r="KVC92" s="24"/>
      <c r="KVD92" s="24"/>
      <c r="KVE92" s="24"/>
      <c r="KVF92" s="24"/>
      <c r="KVG92" s="24"/>
      <c r="KVH92" s="24"/>
      <c r="KVI92" s="24"/>
      <c r="KVJ92" s="24"/>
      <c r="KVK92" s="24"/>
      <c r="KVL92" s="24"/>
      <c r="KVM92" s="24"/>
      <c r="KVN92" s="24"/>
      <c r="KVO92" s="24"/>
      <c r="KVP92" s="24"/>
      <c r="KVQ92" s="24"/>
      <c r="KVR92" s="24"/>
      <c r="KVS92" s="24"/>
      <c r="KVT92" s="24"/>
      <c r="KVU92" s="24"/>
      <c r="KVV92" s="24"/>
      <c r="KVW92" s="24"/>
      <c r="KVX92" s="24"/>
      <c r="KVY92" s="24"/>
      <c r="KVZ92" s="24"/>
      <c r="KWA92" s="24"/>
      <c r="KWB92" s="24"/>
      <c r="KWC92" s="24"/>
      <c r="KWD92" s="24"/>
      <c r="KWE92" s="24"/>
      <c r="KWF92" s="24"/>
      <c r="KWG92" s="24"/>
      <c r="KWH92" s="24"/>
      <c r="KWI92" s="24"/>
      <c r="KWJ92" s="24"/>
      <c r="KWK92" s="24"/>
      <c r="KWL92" s="24"/>
      <c r="KWM92" s="24"/>
      <c r="KWN92" s="24"/>
      <c r="KWO92" s="24"/>
      <c r="KWP92" s="24"/>
      <c r="KWQ92" s="24"/>
      <c r="KWR92" s="24"/>
      <c r="KWS92" s="24"/>
      <c r="KWT92" s="24"/>
      <c r="KWU92" s="24"/>
      <c r="KWV92" s="24"/>
      <c r="KWW92" s="24"/>
      <c r="KWX92" s="24"/>
      <c r="KWY92" s="24"/>
      <c r="KWZ92" s="24"/>
      <c r="KXA92" s="24"/>
      <c r="KXB92" s="24"/>
      <c r="KXC92" s="24"/>
      <c r="KXD92" s="24"/>
      <c r="KXE92" s="24"/>
      <c r="KXF92" s="24"/>
      <c r="KXG92" s="24"/>
      <c r="KXH92" s="24"/>
      <c r="KXI92" s="24"/>
      <c r="KXJ92" s="24"/>
      <c r="KXK92" s="24"/>
      <c r="KXL92" s="24"/>
      <c r="KXM92" s="24"/>
      <c r="KXN92" s="24"/>
      <c r="KXO92" s="24"/>
      <c r="KXP92" s="24"/>
      <c r="KXQ92" s="24"/>
      <c r="KXR92" s="24"/>
      <c r="KXS92" s="24"/>
      <c r="KXT92" s="24"/>
      <c r="KXU92" s="24"/>
      <c r="KXV92" s="24"/>
      <c r="KXW92" s="24"/>
      <c r="KXX92" s="24"/>
      <c r="KXY92" s="24"/>
      <c r="KXZ92" s="24"/>
      <c r="KYA92" s="24"/>
      <c r="KYB92" s="24"/>
      <c r="KYC92" s="24"/>
      <c r="KYD92" s="24"/>
      <c r="KYE92" s="24"/>
      <c r="KYF92" s="24"/>
      <c r="KYG92" s="24"/>
      <c r="KYH92" s="24"/>
      <c r="KYI92" s="24"/>
      <c r="KYJ92" s="24"/>
      <c r="KYK92" s="24"/>
      <c r="KYL92" s="24"/>
      <c r="KYM92" s="24"/>
      <c r="KYN92" s="24"/>
      <c r="KYO92" s="24"/>
      <c r="KYP92" s="24"/>
      <c r="KYQ92" s="24"/>
      <c r="KYR92" s="24"/>
      <c r="KYS92" s="24"/>
      <c r="KYT92" s="24"/>
      <c r="KYU92" s="24"/>
      <c r="KYV92" s="24"/>
      <c r="KYW92" s="24"/>
      <c r="KYX92" s="24"/>
      <c r="KYY92" s="24"/>
      <c r="KYZ92" s="24"/>
      <c r="KZA92" s="24"/>
      <c r="KZB92" s="24"/>
      <c r="KZC92" s="24"/>
      <c r="KZD92" s="24"/>
      <c r="KZE92" s="24"/>
      <c r="KZF92" s="24"/>
      <c r="KZG92" s="24"/>
      <c r="KZH92" s="24"/>
      <c r="KZI92" s="24"/>
      <c r="KZJ92" s="24"/>
      <c r="KZK92" s="24"/>
      <c r="KZL92" s="24"/>
      <c r="KZM92" s="24"/>
      <c r="KZN92" s="24"/>
      <c r="KZO92" s="24"/>
      <c r="KZP92" s="24"/>
      <c r="KZQ92" s="24"/>
      <c r="KZR92" s="24"/>
      <c r="KZS92" s="24"/>
      <c r="KZT92" s="24"/>
      <c r="KZU92" s="24"/>
      <c r="KZV92" s="24"/>
      <c r="KZW92" s="24"/>
      <c r="KZX92" s="24"/>
      <c r="KZY92" s="24"/>
      <c r="KZZ92" s="24"/>
      <c r="LAA92" s="24"/>
      <c r="LAB92" s="24"/>
      <c r="LAC92" s="24"/>
      <c r="LAD92" s="24"/>
      <c r="LAE92" s="24"/>
      <c r="LAF92" s="24"/>
      <c r="LAG92" s="24"/>
      <c r="LAH92" s="24"/>
      <c r="LAI92" s="24"/>
      <c r="LAJ92" s="24"/>
      <c r="LAK92" s="24"/>
      <c r="LAL92" s="24"/>
      <c r="LAM92" s="24"/>
      <c r="LAN92" s="24"/>
      <c r="LAO92" s="24"/>
      <c r="LAP92" s="24"/>
      <c r="LAQ92" s="24"/>
      <c r="LAR92" s="24"/>
      <c r="LAS92" s="24"/>
      <c r="LAT92" s="24"/>
      <c r="LAU92" s="24"/>
      <c r="LAV92" s="24"/>
      <c r="LAW92" s="24"/>
      <c r="LAX92" s="24"/>
      <c r="LAY92" s="24"/>
      <c r="LAZ92" s="24"/>
      <c r="LBA92" s="24"/>
      <c r="LBB92" s="24"/>
      <c r="LBC92" s="24"/>
      <c r="LBD92" s="24"/>
      <c r="LBE92" s="24"/>
      <c r="LBF92" s="24"/>
      <c r="LBG92" s="24"/>
      <c r="LBH92" s="24"/>
      <c r="LBI92" s="24"/>
      <c r="LBJ92" s="24"/>
      <c r="LBK92" s="24"/>
      <c r="LBL92" s="24"/>
      <c r="LBM92" s="24"/>
      <c r="LBN92" s="24"/>
      <c r="LBO92" s="24"/>
      <c r="LBP92" s="24"/>
      <c r="LBQ92" s="24"/>
      <c r="LBR92" s="24"/>
      <c r="LBS92" s="24"/>
      <c r="LBT92" s="24"/>
      <c r="LBU92" s="24"/>
      <c r="LBV92" s="24"/>
      <c r="LBW92" s="24"/>
      <c r="LBX92" s="24"/>
      <c r="LBY92" s="24"/>
      <c r="LBZ92" s="24"/>
      <c r="LCA92" s="24"/>
      <c r="LCB92" s="24"/>
      <c r="LCC92" s="24"/>
      <c r="LCD92" s="24"/>
      <c r="LCE92" s="24"/>
      <c r="LCF92" s="24"/>
      <c r="LCG92" s="24"/>
      <c r="LCH92" s="24"/>
      <c r="LCI92" s="24"/>
      <c r="LCJ92" s="24"/>
      <c r="LCK92" s="24"/>
      <c r="LCL92" s="24"/>
      <c r="LCM92" s="24"/>
      <c r="LCN92" s="24"/>
      <c r="LCO92" s="24"/>
      <c r="LCP92" s="24"/>
      <c r="LCQ92" s="24"/>
      <c r="LCR92" s="24"/>
      <c r="LCS92" s="24"/>
      <c r="LCT92" s="24"/>
      <c r="LCU92" s="24"/>
      <c r="LCV92" s="24"/>
      <c r="LCW92" s="24"/>
      <c r="LCX92" s="24"/>
      <c r="LCY92" s="24"/>
      <c r="LCZ92" s="24"/>
      <c r="LDA92" s="24"/>
      <c r="LDB92" s="24"/>
      <c r="LDC92" s="24"/>
      <c r="LDD92" s="24"/>
      <c r="LDE92" s="24"/>
      <c r="LDF92" s="24"/>
      <c r="LDG92" s="24"/>
      <c r="LDH92" s="24"/>
      <c r="LDI92" s="24"/>
      <c r="LDJ92" s="24"/>
      <c r="LDK92" s="24"/>
      <c r="LDL92" s="24"/>
      <c r="LDM92" s="24"/>
      <c r="LDN92" s="24"/>
      <c r="LDO92" s="24"/>
      <c r="LDP92" s="24"/>
      <c r="LDQ92" s="24"/>
      <c r="LDR92" s="24"/>
      <c r="LDS92" s="24"/>
      <c r="LDT92" s="24"/>
      <c r="LDU92" s="24"/>
      <c r="LDV92" s="24"/>
      <c r="LDW92" s="24"/>
      <c r="LDX92" s="24"/>
      <c r="LDY92" s="24"/>
      <c r="LDZ92" s="24"/>
      <c r="LEA92" s="24"/>
      <c r="LEB92" s="24"/>
      <c r="LEC92" s="24"/>
      <c r="LED92" s="24"/>
      <c r="LEE92" s="24"/>
      <c r="LEF92" s="24"/>
      <c r="LEG92" s="24"/>
      <c r="LEH92" s="24"/>
      <c r="LEI92" s="24"/>
      <c r="LEJ92" s="24"/>
      <c r="LEK92" s="24"/>
      <c r="LEL92" s="24"/>
      <c r="LEM92" s="24"/>
      <c r="LEN92" s="24"/>
      <c r="LEO92" s="24"/>
      <c r="LEP92" s="24"/>
      <c r="LEQ92" s="24"/>
      <c r="LER92" s="24"/>
      <c r="LES92" s="24"/>
      <c r="LET92" s="24"/>
      <c r="LEU92" s="24"/>
      <c r="LEV92" s="24"/>
      <c r="LEW92" s="24"/>
      <c r="LEX92" s="24"/>
      <c r="LEY92" s="24"/>
      <c r="LEZ92" s="24"/>
      <c r="LFA92" s="24"/>
      <c r="LFB92" s="24"/>
      <c r="LFC92" s="24"/>
      <c r="LFD92" s="24"/>
      <c r="LFE92" s="24"/>
      <c r="LFF92" s="24"/>
      <c r="LFG92" s="24"/>
      <c r="LFH92" s="24"/>
      <c r="LFI92" s="24"/>
      <c r="LFJ92" s="24"/>
      <c r="LFK92" s="24"/>
      <c r="LFL92" s="24"/>
      <c r="LFM92" s="24"/>
      <c r="LFN92" s="24"/>
      <c r="LFO92" s="24"/>
      <c r="LFP92" s="24"/>
      <c r="LFQ92" s="24"/>
      <c r="LFR92" s="24"/>
      <c r="LFS92" s="24"/>
      <c r="LFT92" s="24"/>
      <c r="LFU92" s="24"/>
      <c r="LFV92" s="24"/>
      <c r="LFW92" s="24"/>
      <c r="LFX92" s="24"/>
      <c r="LFY92" s="24"/>
      <c r="LFZ92" s="24"/>
      <c r="LGA92" s="24"/>
      <c r="LGB92" s="24"/>
      <c r="LGC92" s="24"/>
      <c r="LGD92" s="24"/>
      <c r="LGE92" s="24"/>
      <c r="LGF92" s="24"/>
      <c r="LGG92" s="24"/>
      <c r="LGH92" s="24"/>
      <c r="LGI92" s="24"/>
      <c r="LGJ92" s="24"/>
      <c r="LGK92" s="24"/>
      <c r="LGL92" s="24"/>
      <c r="LGM92" s="24"/>
      <c r="LGN92" s="24"/>
      <c r="LGO92" s="24"/>
      <c r="LGP92" s="24"/>
      <c r="LGQ92" s="24"/>
      <c r="LGR92" s="24"/>
      <c r="LGS92" s="24"/>
      <c r="LGT92" s="24"/>
      <c r="LGU92" s="24"/>
      <c r="LGV92" s="24"/>
      <c r="LGW92" s="24"/>
      <c r="LGX92" s="24"/>
      <c r="LGY92" s="24"/>
      <c r="LGZ92" s="24"/>
      <c r="LHA92" s="24"/>
      <c r="LHB92" s="24"/>
      <c r="LHC92" s="24"/>
      <c r="LHD92" s="24"/>
      <c r="LHE92" s="24"/>
      <c r="LHF92" s="24"/>
      <c r="LHG92" s="24"/>
      <c r="LHH92" s="24"/>
      <c r="LHI92" s="24"/>
      <c r="LHJ92" s="24"/>
      <c r="LHK92" s="24"/>
      <c r="LHL92" s="24"/>
      <c r="LHM92" s="24"/>
      <c r="LHN92" s="24"/>
      <c r="LHO92" s="24"/>
      <c r="LHP92" s="24"/>
      <c r="LHQ92" s="24"/>
      <c r="LHR92" s="24"/>
      <c r="LHS92" s="24"/>
      <c r="LHT92" s="24"/>
      <c r="LHU92" s="24"/>
      <c r="LHV92" s="24"/>
      <c r="LHW92" s="24"/>
      <c r="LHX92" s="24"/>
      <c r="LHY92" s="24"/>
      <c r="LHZ92" s="24"/>
      <c r="LIA92" s="24"/>
      <c r="LIB92" s="24"/>
      <c r="LIC92" s="24"/>
      <c r="LID92" s="24"/>
      <c r="LIE92" s="24"/>
      <c r="LIF92" s="24"/>
      <c r="LIG92" s="24"/>
      <c r="LIH92" s="24"/>
      <c r="LII92" s="24"/>
      <c r="LIJ92" s="24"/>
      <c r="LIK92" s="24"/>
      <c r="LIL92" s="24"/>
      <c r="LIM92" s="24"/>
      <c r="LIN92" s="24"/>
      <c r="LIO92" s="24"/>
      <c r="LIP92" s="24"/>
      <c r="LIQ92" s="24"/>
      <c r="LIR92" s="24"/>
      <c r="LIS92" s="24"/>
      <c r="LIT92" s="24"/>
      <c r="LIU92" s="24"/>
      <c r="LIV92" s="24"/>
      <c r="LIW92" s="24"/>
      <c r="LIX92" s="24"/>
      <c r="LIY92" s="24"/>
      <c r="LIZ92" s="24"/>
      <c r="LJA92" s="24"/>
      <c r="LJB92" s="24"/>
      <c r="LJC92" s="24"/>
      <c r="LJD92" s="24"/>
      <c r="LJE92" s="24"/>
      <c r="LJF92" s="24"/>
      <c r="LJG92" s="24"/>
      <c r="LJH92" s="24"/>
      <c r="LJI92" s="24"/>
      <c r="LJJ92" s="24"/>
      <c r="LJK92" s="24"/>
      <c r="LJL92" s="24"/>
      <c r="LJM92" s="24"/>
      <c r="LJN92" s="24"/>
      <c r="LJO92" s="24"/>
      <c r="LJP92" s="24"/>
      <c r="LJQ92" s="24"/>
      <c r="LJR92" s="24"/>
      <c r="LJS92" s="24"/>
      <c r="LJT92" s="24"/>
      <c r="LJU92" s="24"/>
      <c r="LJV92" s="24"/>
      <c r="LJW92" s="24"/>
      <c r="LJX92" s="24"/>
      <c r="LJY92" s="24"/>
      <c r="LJZ92" s="24"/>
      <c r="LKA92" s="24"/>
      <c r="LKB92" s="24"/>
      <c r="LKC92" s="24"/>
      <c r="LKD92" s="24"/>
      <c r="LKE92" s="24"/>
      <c r="LKF92" s="24"/>
      <c r="LKG92" s="24"/>
      <c r="LKH92" s="24"/>
      <c r="LKI92" s="24"/>
      <c r="LKJ92" s="24"/>
      <c r="LKK92" s="24"/>
      <c r="LKL92" s="24"/>
      <c r="LKM92" s="24"/>
      <c r="LKN92" s="24"/>
      <c r="LKO92" s="24"/>
      <c r="LKP92" s="24"/>
      <c r="LKQ92" s="24"/>
      <c r="LKR92" s="24"/>
      <c r="LKS92" s="24"/>
      <c r="LKT92" s="24"/>
      <c r="LKU92" s="24"/>
      <c r="LKV92" s="24"/>
      <c r="LKW92" s="24"/>
      <c r="LKX92" s="24"/>
      <c r="LKY92" s="24"/>
      <c r="LKZ92" s="24"/>
      <c r="LLA92" s="24"/>
      <c r="LLB92" s="24"/>
      <c r="LLC92" s="24"/>
      <c r="LLD92" s="24"/>
      <c r="LLE92" s="24"/>
      <c r="LLF92" s="24"/>
      <c r="LLG92" s="24"/>
      <c r="LLH92" s="24"/>
      <c r="LLI92" s="24"/>
      <c r="LLJ92" s="24"/>
      <c r="LLK92" s="24"/>
      <c r="LLL92" s="24"/>
      <c r="LLM92" s="24"/>
      <c r="LLN92" s="24"/>
      <c r="LLO92" s="24"/>
      <c r="LLP92" s="24"/>
      <c r="LLQ92" s="24"/>
      <c r="LLR92" s="24"/>
      <c r="LLS92" s="24"/>
      <c r="LLT92" s="24"/>
      <c r="LLU92" s="24"/>
      <c r="LLV92" s="24"/>
      <c r="LLW92" s="24"/>
      <c r="LLX92" s="24"/>
      <c r="LLY92" s="24"/>
      <c r="LLZ92" s="24"/>
      <c r="LMA92" s="24"/>
      <c r="LMB92" s="24"/>
      <c r="LMC92" s="24"/>
      <c r="LMD92" s="24"/>
      <c r="LME92" s="24"/>
      <c r="LMF92" s="24"/>
      <c r="LMG92" s="24"/>
      <c r="LMH92" s="24"/>
      <c r="LMI92" s="24"/>
      <c r="LMJ92" s="24"/>
      <c r="LMK92" s="24"/>
      <c r="LML92" s="24"/>
      <c r="LMM92" s="24"/>
      <c r="LMN92" s="24"/>
      <c r="LMO92" s="24"/>
      <c r="LMP92" s="24"/>
      <c r="LMQ92" s="24"/>
      <c r="LMR92" s="24"/>
      <c r="LMS92" s="24"/>
      <c r="LMT92" s="24"/>
      <c r="LMU92" s="24"/>
      <c r="LMV92" s="24"/>
      <c r="LMW92" s="24"/>
      <c r="LMX92" s="24"/>
      <c r="LMY92" s="24"/>
      <c r="LMZ92" s="24"/>
      <c r="LNA92" s="24"/>
      <c r="LNB92" s="24"/>
      <c r="LNC92" s="24"/>
      <c r="LND92" s="24"/>
      <c r="LNE92" s="24"/>
      <c r="LNF92" s="24"/>
      <c r="LNG92" s="24"/>
      <c r="LNH92" s="24"/>
      <c r="LNI92" s="24"/>
      <c r="LNJ92" s="24"/>
      <c r="LNK92" s="24"/>
      <c r="LNL92" s="24"/>
      <c r="LNM92" s="24"/>
      <c r="LNN92" s="24"/>
      <c r="LNO92" s="24"/>
      <c r="LNP92" s="24"/>
      <c r="LNQ92" s="24"/>
      <c r="LNR92" s="24"/>
      <c r="LNS92" s="24"/>
      <c r="LNT92" s="24"/>
      <c r="LNU92" s="24"/>
      <c r="LNV92" s="24"/>
      <c r="LNW92" s="24"/>
      <c r="LNX92" s="24"/>
      <c r="LNY92" s="24"/>
      <c r="LNZ92" s="24"/>
      <c r="LOA92" s="24"/>
      <c r="LOB92" s="24"/>
      <c r="LOC92" s="24"/>
      <c r="LOD92" s="24"/>
      <c r="LOE92" s="24"/>
      <c r="LOF92" s="24"/>
      <c r="LOG92" s="24"/>
      <c r="LOH92" s="24"/>
      <c r="LOI92" s="24"/>
      <c r="LOJ92" s="24"/>
      <c r="LOK92" s="24"/>
      <c r="LOL92" s="24"/>
      <c r="LOM92" s="24"/>
      <c r="LON92" s="24"/>
      <c r="LOO92" s="24"/>
      <c r="LOP92" s="24"/>
      <c r="LOQ92" s="24"/>
      <c r="LOR92" s="24"/>
      <c r="LOS92" s="24"/>
      <c r="LOT92" s="24"/>
      <c r="LOU92" s="24"/>
      <c r="LOV92" s="24"/>
      <c r="LOW92" s="24"/>
      <c r="LOX92" s="24"/>
      <c r="LOY92" s="24"/>
      <c r="LOZ92" s="24"/>
      <c r="LPA92" s="24"/>
      <c r="LPB92" s="24"/>
      <c r="LPC92" s="24"/>
      <c r="LPD92" s="24"/>
      <c r="LPE92" s="24"/>
      <c r="LPF92" s="24"/>
      <c r="LPG92" s="24"/>
      <c r="LPH92" s="24"/>
      <c r="LPI92" s="24"/>
      <c r="LPJ92" s="24"/>
      <c r="LPK92" s="24"/>
      <c r="LPL92" s="24"/>
      <c r="LPM92" s="24"/>
      <c r="LPN92" s="24"/>
      <c r="LPO92" s="24"/>
      <c r="LPP92" s="24"/>
      <c r="LPQ92" s="24"/>
      <c r="LPR92" s="24"/>
      <c r="LPS92" s="24"/>
      <c r="LPT92" s="24"/>
      <c r="LPU92" s="24"/>
      <c r="LPV92" s="24"/>
      <c r="LPW92" s="24"/>
      <c r="LPX92" s="24"/>
      <c r="LPY92" s="24"/>
      <c r="LPZ92" s="24"/>
      <c r="LQA92" s="24"/>
      <c r="LQB92" s="24"/>
      <c r="LQC92" s="24"/>
      <c r="LQD92" s="24"/>
      <c r="LQE92" s="24"/>
      <c r="LQF92" s="24"/>
      <c r="LQG92" s="24"/>
      <c r="LQH92" s="24"/>
      <c r="LQI92" s="24"/>
      <c r="LQJ92" s="24"/>
      <c r="LQK92" s="24"/>
      <c r="LQL92" s="24"/>
      <c r="LQM92" s="24"/>
      <c r="LQN92" s="24"/>
      <c r="LQO92" s="24"/>
      <c r="LQP92" s="24"/>
      <c r="LQQ92" s="24"/>
      <c r="LQR92" s="24"/>
      <c r="LQS92" s="24"/>
      <c r="LQT92" s="24"/>
      <c r="LQU92" s="24"/>
      <c r="LQV92" s="24"/>
      <c r="LQW92" s="24"/>
      <c r="LQX92" s="24"/>
      <c r="LQY92" s="24"/>
      <c r="LQZ92" s="24"/>
      <c r="LRA92" s="24"/>
      <c r="LRB92" s="24"/>
      <c r="LRC92" s="24"/>
      <c r="LRD92" s="24"/>
      <c r="LRE92" s="24"/>
      <c r="LRF92" s="24"/>
      <c r="LRG92" s="24"/>
      <c r="LRH92" s="24"/>
      <c r="LRI92" s="24"/>
      <c r="LRJ92" s="24"/>
      <c r="LRK92" s="24"/>
      <c r="LRL92" s="24"/>
      <c r="LRM92" s="24"/>
      <c r="LRN92" s="24"/>
      <c r="LRO92" s="24"/>
      <c r="LRP92" s="24"/>
      <c r="LRQ92" s="24"/>
      <c r="LRR92" s="24"/>
      <c r="LRS92" s="24"/>
      <c r="LRT92" s="24"/>
      <c r="LRU92" s="24"/>
      <c r="LRV92" s="24"/>
      <c r="LRW92" s="24"/>
      <c r="LRX92" s="24"/>
      <c r="LRY92" s="24"/>
      <c r="LRZ92" s="24"/>
      <c r="LSA92" s="24"/>
      <c r="LSB92" s="24"/>
      <c r="LSC92" s="24"/>
      <c r="LSD92" s="24"/>
      <c r="LSE92" s="24"/>
      <c r="LSF92" s="24"/>
      <c r="LSG92" s="24"/>
      <c r="LSH92" s="24"/>
      <c r="LSI92" s="24"/>
      <c r="LSJ92" s="24"/>
      <c r="LSK92" s="24"/>
      <c r="LSL92" s="24"/>
      <c r="LSM92" s="24"/>
      <c r="LSN92" s="24"/>
      <c r="LSO92" s="24"/>
      <c r="LSP92" s="24"/>
      <c r="LSQ92" s="24"/>
      <c r="LSR92" s="24"/>
      <c r="LSS92" s="24"/>
      <c r="LST92" s="24"/>
      <c r="LSU92" s="24"/>
      <c r="LSV92" s="24"/>
      <c r="LSW92" s="24"/>
      <c r="LSX92" s="24"/>
      <c r="LSY92" s="24"/>
      <c r="LSZ92" s="24"/>
      <c r="LTA92" s="24"/>
      <c r="LTB92" s="24"/>
      <c r="LTC92" s="24"/>
      <c r="LTD92" s="24"/>
      <c r="LTE92" s="24"/>
      <c r="LTF92" s="24"/>
      <c r="LTG92" s="24"/>
      <c r="LTH92" s="24"/>
      <c r="LTI92" s="24"/>
      <c r="LTJ92" s="24"/>
      <c r="LTK92" s="24"/>
      <c r="LTL92" s="24"/>
      <c r="LTM92" s="24"/>
      <c r="LTN92" s="24"/>
      <c r="LTO92" s="24"/>
      <c r="LTP92" s="24"/>
      <c r="LTQ92" s="24"/>
      <c r="LTR92" s="24"/>
      <c r="LTS92" s="24"/>
      <c r="LTT92" s="24"/>
      <c r="LTU92" s="24"/>
      <c r="LTV92" s="24"/>
      <c r="LTW92" s="24"/>
      <c r="LTX92" s="24"/>
      <c r="LTY92" s="24"/>
      <c r="LTZ92" s="24"/>
      <c r="LUA92" s="24"/>
      <c r="LUB92" s="24"/>
      <c r="LUC92" s="24"/>
      <c r="LUD92" s="24"/>
      <c r="LUE92" s="24"/>
      <c r="LUF92" s="24"/>
      <c r="LUG92" s="24"/>
      <c r="LUH92" s="24"/>
      <c r="LUI92" s="24"/>
      <c r="LUJ92" s="24"/>
      <c r="LUK92" s="24"/>
      <c r="LUL92" s="24"/>
      <c r="LUM92" s="24"/>
      <c r="LUN92" s="24"/>
      <c r="LUO92" s="24"/>
      <c r="LUP92" s="24"/>
      <c r="LUQ92" s="24"/>
      <c r="LUR92" s="24"/>
      <c r="LUS92" s="24"/>
      <c r="LUT92" s="24"/>
      <c r="LUU92" s="24"/>
      <c r="LUV92" s="24"/>
      <c r="LUW92" s="24"/>
      <c r="LUX92" s="24"/>
      <c r="LUY92" s="24"/>
      <c r="LUZ92" s="24"/>
      <c r="LVA92" s="24"/>
      <c r="LVB92" s="24"/>
      <c r="LVC92" s="24"/>
      <c r="LVD92" s="24"/>
      <c r="LVE92" s="24"/>
      <c r="LVF92" s="24"/>
      <c r="LVG92" s="24"/>
      <c r="LVH92" s="24"/>
      <c r="LVI92" s="24"/>
      <c r="LVJ92" s="24"/>
      <c r="LVK92" s="24"/>
      <c r="LVL92" s="24"/>
      <c r="LVM92" s="24"/>
      <c r="LVN92" s="24"/>
      <c r="LVO92" s="24"/>
      <c r="LVP92" s="24"/>
      <c r="LVQ92" s="24"/>
      <c r="LVR92" s="24"/>
      <c r="LVS92" s="24"/>
      <c r="LVT92" s="24"/>
      <c r="LVU92" s="24"/>
      <c r="LVV92" s="24"/>
      <c r="LVW92" s="24"/>
      <c r="LVX92" s="24"/>
      <c r="LVY92" s="24"/>
      <c r="LVZ92" s="24"/>
      <c r="LWA92" s="24"/>
      <c r="LWB92" s="24"/>
      <c r="LWC92" s="24"/>
      <c r="LWD92" s="24"/>
      <c r="LWE92" s="24"/>
      <c r="LWF92" s="24"/>
      <c r="LWG92" s="24"/>
      <c r="LWH92" s="24"/>
      <c r="LWI92" s="24"/>
      <c r="LWJ92" s="24"/>
      <c r="LWK92" s="24"/>
      <c r="LWL92" s="24"/>
      <c r="LWM92" s="24"/>
      <c r="LWN92" s="24"/>
      <c r="LWO92" s="24"/>
      <c r="LWP92" s="24"/>
      <c r="LWQ92" s="24"/>
      <c r="LWR92" s="24"/>
      <c r="LWS92" s="24"/>
      <c r="LWT92" s="24"/>
      <c r="LWU92" s="24"/>
      <c r="LWV92" s="24"/>
      <c r="LWW92" s="24"/>
      <c r="LWX92" s="24"/>
      <c r="LWY92" s="24"/>
      <c r="LWZ92" s="24"/>
      <c r="LXA92" s="24"/>
      <c r="LXB92" s="24"/>
      <c r="LXC92" s="24"/>
      <c r="LXD92" s="24"/>
      <c r="LXE92" s="24"/>
      <c r="LXF92" s="24"/>
      <c r="LXG92" s="24"/>
      <c r="LXH92" s="24"/>
      <c r="LXI92" s="24"/>
      <c r="LXJ92" s="24"/>
      <c r="LXK92" s="24"/>
      <c r="LXL92" s="24"/>
      <c r="LXM92" s="24"/>
      <c r="LXN92" s="24"/>
      <c r="LXO92" s="24"/>
      <c r="LXP92" s="24"/>
      <c r="LXQ92" s="24"/>
      <c r="LXR92" s="24"/>
      <c r="LXS92" s="24"/>
      <c r="LXT92" s="24"/>
      <c r="LXU92" s="24"/>
      <c r="LXV92" s="24"/>
      <c r="LXW92" s="24"/>
      <c r="LXX92" s="24"/>
      <c r="LXY92" s="24"/>
      <c r="LXZ92" s="24"/>
      <c r="LYA92" s="24"/>
      <c r="LYB92" s="24"/>
      <c r="LYC92" s="24"/>
      <c r="LYD92" s="24"/>
      <c r="LYE92" s="24"/>
      <c r="LYF92" s="24"/>
      <c r="LYG92" s="24"/>
      <c r="LYH92" s="24"/>
      <c r="LYI92" s="24"/>
      <c r="LYJ92" s="24"/>
      <c r="LYK92" s="24"/>
      <c r="LYL92" s="24"/>
      <c r="LYM92" s="24"/>
      <c r="LYN92" s="24"/>
      <c r="LYO92" s="24"/>
      <c r="LYP92" s="24"/>
      <c r="LYQ92" s="24"/>
      <c r="LYR92" s="24"/>
      <c r="LYS92" s="24"/>
      <c r="LYT92" s="24"/>
      <c r="LYU92" s="24"/>
      <c r="LYV92" s="24"/>
      <c r="LYW92" s="24"/>
      <c r="LYX92" s="24"/>
      <c r="LYY92" s="24"/>
      <c r="LYZ92" s="24"/>
      <c r="LZA92" s="24"/>
      <c r="LZB92" s="24"/>
      <c r="LZC92" s="24"/>
      <c r="LZD92" s="24"/>
      <c r="LZE92" s="24"/>
      <c r="LZF92" s="24"/>
      <c r="LZG92" s="24"/>
      <c r="LZH92" s="24"/>
      <c r="LZI92" s="24"/>
      <c r="LZJ92" s="24"/>
      <c r="LZK92" s="24"/>
      <c r="LZL92" s="24"/>
      <c r="LZM92" s="24"/>
      <c r="LZN92" s="24"/>
      <c r="LZO92" s="24"/>
      <c r="LZP92" s="24"/>
      <c r="LZQ92" s="24"/>
      <c r="LZR92" s="24"/>
      <c r="LZS92" s="24"/>
      <c r="LZT92" s="24"/>
      <c r="LZU92" s="24"/>
      <c r="LZV92" s="24"/>
      <c r="LZW92" s="24"/>
      <c r="LZX92" s="24"/>
      <c r="LZY92" s="24"/>
      <c r="LZZ92" s="24"/>
      <c r="MAA92" s="24"/>
      <c r="MAB92" s="24"/>
      <c r="MAC92" s="24"/>
      <c r="MAD92" s="24"/>
      <c r="MAE92" s="24"/>
      <c r="MAF92" s="24"/>
      <c r="MAG92" s="24"/>
      <c r="MAH92" s="24"/>
      <c r="MAI92" s="24"/>
      <c r="MAJ92" s="24"/>
      <c r="MAK92" s="24"/>
      <c r="MAL92" s="24"/>
      <c r="MAM92" s="24"/>
      <c r="MAN92" s="24"/>
      <c r="MAO92" s="24"/>
      <c r="MAP92" s="24"/>
      <c r="MAQ92" s="24"/>
      <c r="MAR92" s="24"/>
      <c r="MAS92" s="24"/>
      <c r="MAT92" s="24"/>
      <c r="MAU92" s="24"/>
      <c r="MAV92" s="24"/>
      <c r="MAW92" s="24"/>
      <c r="MAX92" s="24"/>
      <c r="MAY92" s="24"/>
      <c r="MAZ92" s="24"/>
      <c r="MBA92" s="24"/>
      <c r="MBB92" s="24"/>
      <c r="MBC92" s="24"/>
      <c r="MBD92" s="24"/>
      <c r="MBE92" s="24"/>
      <c r="MBF92" s="24"/>
      <c r="MBG92" s="24"/>
      <c r="MBH92" s="24"/>
      <c r="MBI92" s="24"/>
      <c r="MBJ92" s="24"/>
      <c r="MBK92" s="24"/>
      <c r="MBL92" s="24"/>
      <c r="MBM92" s="24"/>
      <c r="MBN92" s="24"/>
      <c r="MBO92" s="24"/>
      <c r="MBP92" s="24"/>
      <c r="MBQ92" s="24"/>
      <c r="MBR92" s="24"/>
      <c r="MBS92" s="24"/>
      <c r="MBT92" s="24"/>
      <c r="MBU92" s="24"/>
      <c r="MBV92" s="24"/>
      <c r="MBW92" s="24"/>
      <c r="MBX92" s="24"/>
      <c r="MBY92" s="24"/>
      <c r="MBZ92" s="24"/>
      <c r="MCA92" s="24"/>
      <c r="MCB92" s="24"/>
      <c r="MCC92" s="24"/>
      <c r="MCD92" s="24"/>
      <c r="MCE92" s="24"/>
      <c r="MCF92" s="24"/>
      <c r="MCG92" s="24"/>
      <c r="MCH92" s="24"/>
      <c r="MCI92" s="24"/>
      <c r="MCJ92" s="24"/>
      <c r="MCK92" s="24"/>
      <c r="MCL92" s="24"/>
      <c r="MCM92" s="24"/>
      <c r="MCN92" s="24"/>
      <c r="MCO92" s="24"/>
      <c r="MCP92" s="24"/>
      <c r="MCQ92" s="24"/>
      <c r="MCR92" s="24"/>
      <c r="MCS92" s="24"/>
      <c r="MCT92" s="24"/>
      <c r="MCU92" s="24"/>
      <c r="MCV92" s="24"/>
      <c r="MCW92" s="24"/>
      <c r="MCX92" s="24"/>
      <c r="MCY92" s="24"/>
      <c r="MCZ92" s="24"/>
      <c r="MDA92" s="24"/>
      <c r="MDB92" s="24"/>
      <c r="MDC92" s="24"/>
      <c r="MDD92" s="24"/>
      <c r="MDE92" s="24"/>
      <c r="MDF92" s="24"/>
      <c r="MDG92" s="24"/>
      <c r="MDH92" s="24"/>
      <c r="MDI92" s="24"/>
      <c r="MDJ92" s="24"/>
      <c r="MDK92" s="24"/>
      <c r="MDL92" s="24"/>
      <c r="MDM92" s="24"/>
      <c r="MDN92" s="24"/>
      <c r="MDO92" s="24"/>
      <c r="MDP92" s="24"/>
      <c r="MDQ92" s="24"/>
      <c r="MDR92" s="24"/>
      <c r="MDS92" s="24"/>
      <c r="MDT92" s="24"/>
      <c r="MDU92" s="24"/>
      <c r="MDV92" s="24"/>
      <c r="MDW92" s="24"/>
      <c r="MDX92" s="24"/>
      <c r="MDY92" s="24"/>
      <c r="MDZ92" s="24"/>
      <c r="MEA92" s="24"/>
      <c r="MEB92" s="24"/>
      <c r="MEC92" s="24"/>
      <c r="MED92" s="24"/>
      <c r="MEE92" s="24"/>
      <c r="MEF92" s="24"/>
      <c r="MEG92" s="24"/>
      <c r="MEH92" s="24"/>
      <c r="MEI92" s="24"/>
      <c r="MEJ92" s="24"/>
      <c r="MEK92" s="24"/>
      <c r="MEL92" s="24"/>
      <c r="MEM92" s="24"/>
      <c r="MEN92" s="24"/>
      <c r="MEO92" s="24"/>
      <c r="MEP92" s="24"/>
      <c r="MEQ92" s="24"/>
      <c r="MER92" s="24"/>
      <c r="MES92" s="24"/>
      <c r="MET92" s="24"/>
      <c r="MEU92" s="24"/>
      <c r="MEV92" s="24"/>
      <c r="MEW92" s="24"/>
      <c r="MEX92" s="24"/>
      <c r="MEY92" s="24"/>
      <c r="MEZ92" s="24"/>
      <c r="MFA92" s="24"/>
      <c r="MFB92" s="24"/>
      <c r="MFC92" s="24"/>
      <c r="MFD92" s="24"/>
      <c r="MFE92" s="24"/>
      <c r="MFF92" s="24"/>
      <c r="MFG92" s="24"/>
      <c r="MFH92" s="24"/>
      <c r="MFI92" s="24"/>
      <c r="MFJ92" s="24"/>
      <c r="MFK92" s="24"/>
      <c r="MFL92" s="24"/>
      <c r="MFM92" s="24"/>
      <c r="MFN92" s="24"/>
      <c r="MFO92" s="24"/>
      <c r="MFP92" s="24"/>
      <c r="MFQ92" s="24"/>
      <c r="MFR92" s="24"/>
      <c r="MFS92" s="24"/>
      <c r="MFT92" s="24"/>
      <c r="MFU92" s="24"/>
      <c r="MFV92" s="24"/>
      <c r="MFW92" s="24"/>
      <c r="MFX92" s="24"/>
      <c r="MFY92" s="24"/>
      <c r="MFZ92" s="24"/>
      <c r="MGA92" s="24"/>
      <c r="MGB92" s="24"/>
      <c r="MGC92" s="24"/>
      <c r="MGD92" s="24"/>
      <c r="MGE92" s="24"/>
      <c r="MGF92" s="24"/>
      <c r="MGG92" s="24"/>
      <c r="MGH92" s="24"/>
      <c r="MGI92" s="24"/>
      <c r="MGJ92" s="24"/>
      <c r="MGK92" s="24"/>
      <c r="MGL92" s="24"/>
      <c r="MGM92" s="24"/>
      <c r="MGN92" s="24"/>
      <c r="MGO92" s="24"/>
      <c r="MGP92" s="24"/>
      <c r="MGQ92" s="24"/>
      <c r="MGR92" s="24"/>
      <c r="MGS92" s="24"/>
      <c r="MGT92" s="24"/>
      <c r="MGU92" s="24"/>
      <c r="MGV92" s="24"/>
      <c r="MGW92" s="24"/>
      <c r="MGX92" s="24"/>
      <c r="MGY92" s="24"/>
      <c r="MGZ92" s="24"/>
      <c r="MHA92" s="24"/>
      <c r="MHB92" s="24"/>
      <c r="MHC92" s="24"/>
      <c r="MHD92" s="24"/>
      <c r="MHE92" s="24"/>
      <c r="MHF92" s="24"/>
      <c r="MHG92" s="24"/>
      <c r="MHH92" s="24"/>
      <c r="MHI92" s="24"/>
      <c r="MHJ92" s="24"/>
      <c r="MHK92" s="24"/>
      <c r="MHL92" s="24"/>
      <c r="MHM92" s="24"/>
      <c r="MHN92" s="24"/>
      <c r="MHO92" s="24"/>
      <c r="MHP92" s="24"/>
      <c r="MHQ92" s="24"/>
      <c r="MHR92" s="24"/>
      <c r="MHS92" s="24"/>
      <c r="MHT92" s="24"/>
      <c r="MHU92" s="24"/>
      <c r="MHV92" s="24"/>
      <c r="MHW92" s="24"/>
      <c r="MHX92" s="24"/>
      <c r="MHY92" s="24"/>
      <c r="MHZ92" s="24"/>
      <c r="MIA92" s="24"/>
      <c r="MIB92" s="24"/>
      <c r="MIC92" s="24"/>
      <c r="MID92" s="24"/>
      <c r="MIE92" s="24"/>
      <c r="MIF92" s="24"/>
      <c r="MIG92" s="24"/>
      <c r="MIH92" s="24"/>
      <c r="MII92" s="24"/>
      <c r="MIJ92" s="24"/>
      <c r="MIK92" s="24"/>
      <c r="MIL92" s="24"/>
      <c r="MIM92" s="24"/>
      <c r="MIN92" s="24"/>
      <c r="MIO92" s="24"/>
      <c r="MIP92" s="24"/>
      <c r="MIQ92" s="24"/>
      <c r="MIR92" s="24"/>
      <c r="MIS92" s="24"/>
      <c r="MIT92" s="24"/>
      <c r="MIU92" s="24"/>
      <c r="MIV92" s="24"/>
      <c r="MIW92" s="24"/>
      <c r="MIX92" s="24"/>
      <c r="MIY92" s="24"/>
      <c r="MIZ92" s="24"/>
      <c r="MJA92" s="24"/>
      <c r="MJB92" s="24"/>
      <c r="MJC92" s="24"/>
      <c r="MJD92" s="24"/>
      <c r="MJE92" s="24"/>
      <c r="MJF92" s="24"/>
      <c r="MJG92" s="24"/>
      <c r="MJH92" s="24"/>
      <c r="MJI92" s="24"/>
      <c r="MJJ92" s="24"/>
      <c r="MJK92" s="24"/>
      <c r="MJL92" s="24"/>
      <c r="MJM92" s="24"/>
      <c r="MJN92" s="24"/>
      <c r="MJO92" s="24"/>
      <c r="MJP92" s="24"/>
      <c r="MJQ92" s="24"/>
      <c r="MJR92" s="24"/>
      <c r="MJS92" s="24"/>
      <c r="MJT92" s="24"/>
      <c r="MJU92" s="24"/>
      <c r="MJV92" s="24"/>
      <c r="MJW92" s="24"/>
      <c r="MJX92" s="24"/>
      <c r="MJY92" s="24"/>
      <c r="MJZ92" s="24"/>
      <c r="MKA92" s="24"/>
      <c r="MKB92" s="24"/>
      <c r="MKC92" s="24"/>
      <c r="MKD92" s="24"/>
      <c r="MKE92" s="24"/>
      <c r="MKF92" s="24"/>
      <c r="MKG92" s="24"/>
      <c r="MKH92" s="24"/>
      <c r="MKI92" s="24"/>
      <c r="MKJ92" s="24"/>
      <c r="MKK92" s="24"/>
      <c r="MKL92" s="24"/>
      <c r="MKM92" s="24"/>
      <c r="MKN92" s="24"/>
      <c r="MKO92" s="24"/>
      <c r="MKP92" s="24"/>
      <c r="MKQ92" s="24"/>
      <c r="MKR92" s="24"/>
      <c r="MKS92" s="24"/>
      <c r="MKT92" s="24"/>
      <c r="MKU92" s="24"/>
      <c r="MKV92" s="24"/>
      <c r="MKW92" s="24"/>
      <c r="MKX92" s="24"/>
      <c r="MKY92" s="24"/>
      <c r="MKZ92" s="24"/>
      <c r="MLA92" s="24"/>
      <c r="MLB92" s="24"/>
      <c r="MLC92" s="24"/>
      <c r="MLD92" s="24"/>
      <c r="MLE92" s="24"/>
      <c r="MLF92" s="24"/>
      <c r="MLG92" s="24"/>
      <c r="MLH92" s="24"/>
      <c r="MLI92" s="24"/>
      <c r="MLJ92" s="24"/>
      <c r="MLK92" s="24"/>
      <c r="MLL92" s="24"/>
      <c r="MLM92" s="24"/>
      <c r="MLN92" s="24"/>
      <c r="MLO92" s="24"/>
      <c r="MLP92" s="24"/>
      <c r="MLQ92" s="24"/>
      <c r="MLR92" s="24"/>
      <c r="MLS92" s="24"/>
      <c r="MLT92" s="24"/>
      <c r="MLU92" s="24"/>
      <c r="MLV92" s="24"/>
      <c r="MLW92" s="24"/>
      <c r="MLX92" s="24"/>
      <c r="MLY92" s="24"/>
      <c r="MLZ92" s="24"/>
      <c r="MMA92" s="24"/>
      <c r="MMB92" s="24"/>
      <c r="MMC92" s="24"/>
      <c r="MMD92" s="24"/>
      <c r="MME92" s="24"/>
      <c r="MMF92" s="24"/>
      <c r="MMG92" s="24"/>
      <c r="MMH92" s="24"/>
      <c r="MMI92" s="24"/>
      <c r="MMJ92" s="24"/>
      <c r="MMK92" s="24"/>
      <c r="MML92" s="24"/>
      <c r="MMM92" s="24"/>
      <c r="MMN92" s="24"/>
      <c r="MMO92" s="24"/>
      <c r="MMP92" s="24"/>
      <c r="MMQ92" s="24"/>
      <c r="MMR92" s="24"/>
      <c r="MMS92" s="24"/>
      <c r="MMT92" s="24"/>
      <c r="MMU92" s="24"/>
      <c r="MMV92" s="24"/>
      <c r="MMW92" s="24"/>
      <c r="MMX92" s="24"/>
      <c r="MMY92" s="24"/>
      <c r="MMZ92" s="24"/>
      <c r="MNA92" s="24"/>
      <c r="MNB92" s="24"/>
      <c r="MNC92" s="24"/>
      <c r="MND92" s="24"/>
      <c r="MNE92" s="24"/>
      <c r="MNF92" s="24"/>
      <c r="MNG92" s="24"/>
      <c r="MNH92" s="24"/>
      <c r="MNI92" s="24"/>
      <c r="MNJ92" s="24"/>
      <c r="MNK92" s="24"/>
      <c r="MNL92" s="24"/>
      <c r="MNM92" s="24"/>
      <c r="MNN92" s="24"/>
      <c r="MNO92" s="24"/>
      <c r="MNP92" s="24"/>
      <c r="MNQ92" s="24"/>
      <c r="MNR92" s="24"/>
      <c r="MNS92" s="24"/>
      <c r="MNT92" s="24"/>
      <c r="MNU92" s="24"/>
      <c r="MNV92" s="24"/>
      <c r="MNW92" s="24"/>
      <c r="MNX92" s="24"/>
      <c r="MNY92" s="24"/>
      <c r="MNZ92" s="24"/>
      <c r="MOA92" s="24"/>
      <c r="MOB92" s="24"/>
      <c r="MOC92" s="24"/>
      <c r="MOD92" s="24"/>
      <c r="MOE92" s="24"/>
      <c r="MOF92" s="24"/>
      <c r="MOG92" s="24"/>
      <c r="MOH92" s="24"/>
      <c r="MOI92" s="24"/>
      <c r="MOJ92" s="24"/>
      <c r="MOK92" s="24"/>
      <c r="MOL92" s="24"/>
      <c r="MOM92" s="24"/>
      <c r="MON92" s="24"/>
      <c r="MOO92" s="24"/>
      <c r="MOP92" s="24"/>
      <c r="MOQ92" s="24"/>
      <c r="MOR92" s="24"/>
      <c r="MOS92" s="24"/>
      <c r="MOT92" s="24"/>
      <c r="MOU92" s="24"/>
      <c r="MOV92" s="24"/>
      <c r="MOW92" s="24"/>
      <c r="MOX92" s="24"/>
      <c r="MOY92" s="24"/>
      <c r="MOZ92" s="24"/>
      <c r="MPA92" s="24"/>
      <c r="MPB92" s="24"/>
      <c r="MPC92" s="24"/>
      <c r="MPD92" s="24"/>
      <c r="MPE92" s="24"/>
      <c r="MPF92" s="24"/>
      <c r="MPG92" s="24"/>
      <c r="MPH92" s="24"/>
      <c r="MPI92" s="24"/>
      <c r="MPJ92" s="24"/>
      <c r="MPK92" s="24"/>
      <c r="MPL92" s="24"/>
      <c r="MPM92" s="24"/>
      <c r="MPN92" s="24"/>
      <c r="MPO92" s="24"/>
      <c r="MPP92" s="24"/>
      <c r="MPQ92" s="24"/>
      <c r="MPR92" s="24"/>
      <c r="MPS92" s="24"/>
      <c r="MPT92" s="24"/>
      <c r="MPU92" s="24"/>
      <c r="MPV92" s="24"/>
      <c r="MPW92" s="24"/>
      <c r="MPX92" s="24"/>
      <c r="MPY92" s="24"/>
      <c r="MPZ92" s="24"/>
      <c r="MQA92" s="24"/>
      <c r="MQB92" s="24"/>
      <c r="MQC92" s="24"/>
      <c r="MQD92" s="24"/>
      <c r="MQE92" s="24"/>
      <c r="MQF92" s="24"/>
      <c r="MQG92" s="24"/>
      <c r="MQH92" s="24"/>
      <c r="MQI92" s="24"/>
      <c r="MQJ92" s="24"/>
      <c r="MQK92" s="24"/>
      <c r="MQL92" s="24"/>
      <c r="MQM92" s="24"/>
      <c r="MQN92" s="24"/>
      <c r="MQO92" s="24"/>
      <c r="MQP92" s="24"/>
      <c r="MQQ92" s="24"/>
      <c r="MQR92" s="24"/>
      <c r="MQS92" s="24"/>
      <c r="MQT92" s="24"/>
      <c r="MQU92" s="24"/>
      <c r="MQV92" s="24"/>
      <c r="MQW92" s="24"/>
      <c r="MQX92" s="24"/>
      <c r="MQY92" s="24"/>
      <c r="MQZ92" s="24"/>
      <c r="MRA92" s="24"/>
      <c r="MRB92" s="24"/>
      <c r="MRC92" s="24"/>
      <c r="MRD92" s="24"/>
      <c r="MRE92" s="24"/>
      <c r="MRF92" s="24"/>
      <c r="MRG92" s="24"/>
      <c r="MRH92" s="24"/>
      <c r="MRI92" s="24"/>
      <c r="MRJ92" s="24"/>
      <c r="MRK92" s="24"/>
      <c r="MRL92" s="24"/>
      <c r="MRM92" s="24"/>
      <c r="MRN92" s="24"/>
      <c r="MRO92" s="24"/>
      <c r="MRP92" s="24"/>
      <c r="MRQ92" s="24"/>
      <c r="MRR92" s="24"/>
      <c r="MRS92" s="24"/>
      <c r="MRT92" s="24"/>
      <c r="MRU92" s="24"/>
      <c r="MRV92" s="24"/>
      <c r="MRW92" s="24"/>
      <c r="MRX92" s="24"/>
      <c r="MRY92" s="24"/>
      <c r="MRZ92" s="24"/>
      <c r="MSA92" s="24"/>
      <c r="MSB92" s="24"/>
      <c r="MSC92" s="24"/>
      <c r="MSD92" s="24"/>
      <c r="MSE92" s="24"/>
      <c r="MSF92" s="24"/>
      <c r="MSG92" s="24"/>
      <c r="MSH92" s="24"/>
      <c r="MSI92" s="24"/>
      <c r="MSJ92" s="24"/>
      <c r="MSK92" s="24"/>
      <c r="MSL92" s="24"/>
      <c r="MSM92" s="24"/>
      <c r="MSN92" s="24"/>
      <c r="MSO92" s="24"/>
      <c r="MSP92" s="24"/>
      <c r="MSQ92" s="24"/>
      <c r="MSR92" s="24"/>
      <c r="MSS92" s="24"/>
      <c r="MST92" s="24"/>
      <c r="MSU92" s="24"/>
      <c r="MSV92" s="24"/>
      <c r="MSW92" s="24"/>
      <c r="MSX92" s="24"/>
      <c r="MSY92" s="24"/>
      <c r="MSZ92" s="24"/>
      <c r="MTA92" s="24"/>
      <c r="MTB92" s="24"/>
      <c r="MTC92" s="24"/>
      <c r="MTD92" s="24"/>
      <c r="MTE92" s="24"/>
      <c r="MTF92" s="24"/>
      <c r="MTG92" s="24"/>
      <c r="MTH92" s="24"/>
      <c r="MTI92" s="24"/>
      <c r="MTJ92" s="24"/>
      <c r="MTK92" s="24"/>
      <c r="MTL92" s="24"/>
      <c r="MTM92" s="24"/>
      <c r="MTN92" s="24"/>
      <c r="MTO92" s="24"/>
      <c r="MTP92" s="24"/>
      <c r="MTQ92" s="24"/>
      <c r="MTR92" s="24"/>
      <c r="MTS92" s="24"/>
      <c r="MTT92" s="24"/>
      <c r="MTU92" s="24"/>
      <c r="MTV92" s="24"/>
      <c r="MTW92" s="24"/>
      <c r="MTX92" s="24"/>
      <c r="MTY92" s="24"/>
      <c r="MTZ92" s="24"/>
      <c r="MUA92" s="24"/>
      <c r="MUB92" s="24"/>
      <c r="MUC92" s="24"/>
      <c r="MUD92" s="24"/>
      <c r="MUE92" s="24"/>
      <c r="MUF92" s="24"/>
      <c r="MUG92" s="24"/>
      <c r="MUH92" s="24"/>
      <c r="MUI92" s="24"/>
      <c r="MUJ92" s="24"/>
      <c r="MUK92" s="24"/>
      <c r="MUL92" s="24"/>
      <c r="MUM92" s="24"/>
      <c r="MUN92" s="24"/>
      <c r="MUO92" s="24"/>
      <c r="MUP92" s="24"/>
      <c r="MUQ92" s="24"/>
      <c r="MUR92" s="24"/>
      <c r="MUS92" s="24"/>
      <c r="MUT92" s="24"/>
      <c r="MUU92" s="24"/>
      <c r="MUV92" s="24"/>
      <c r="MUW92" s="24"/>
      <c r="MUX92" s="24"/>
      <c r="MUY92" s="24"/>
      <c r="MUZ92" s="24"/>
      <c r="MVA92" s="24"/>
      <c r="MVB92" s="24"/>
      <c r="MVC92" s="24"/>
      <c r="MVD92" s="24"/>
      <c r="MVE92" s="24"/>
      <c r="MVF92" s="24"/>
      <c r="MVG92" s="24"/>
      <c r="MVH92" s="24"/>
      <c r="MVI92" s="24"/>
      <c r="MVJ92" s="24"/>
      <c r="MVK92" s="24"/>
      <c r="MVL92" s="24"/>
      <c r="MVM92" s="24"/>
      <c r="MVN92" s="24"/>
      <c r="MVO92" s="24"/>
      <c r="MVP92" s="24"/>
      <c r="MVQ92" s="24"/>
      <c r="MVR92" s="24"/>
      <c r="MVS92" s="24"/>
      <c r="MVT92" s="24"/>
      <c r="MVU92" s="24"/>
      <c r="MVV92" s="24"/>
      <c r="MVW92" s="24"/>
      <c r="MVX92" s="24"/>
      <c r="MVY92" s="24"/>
      <c r="MVZ92" s="24"/>
      <c r="MWA92" s="24"/>
      <c r="MWB92" s="24"/>
      <c r="MWC92" s="24"/>
      <c r="MWD92" s="24"/>
      <c r="MWE92" s="24"/>
      <c r="MWF92" s="24"/>
      <c r="MWG92" s="24"/>
      <c r="MWH92" s="24"/>
      <c r="MWI92" s="24"/>
      <c r="MWJ92" s="24"/>
      <c r="MWK92" s="24"/>
      <c r="MWL92" s="24"/>
      <c r="MWM92" s="24"/>
      <c r="MWN92" s="24"/>
      <c r="MWO92" s="24"/>
      <c r="MWP92" s="24"/>
      <c r="MWQ92" s="24"/>
      <c r="MWR92" s="24"/>
      <c r="MWS92" s="24"/>
      <c r="MWT92" s="24"/>
      <c r="MWU92" s="24"/>
      <c r="MWV92" s="24"/>
      <c r="MWW92" s="24"/>
      <c r="MWX92" s="24"/>
      <c r="MWY92" s="24"/>
      <c r="MWZ92" s="24"/>
      <c r="MXA92" s="24"/>
      <c r="MXB92" s="24"/>
      <c r="MXC92" s="24"/>
      <c r="MXD92" s="24"/>
      <c r="MXE92" s="24"/>
      <c r="MXF92" s="24"/>
      <c r="MXG92" s="24"/>
      <c r="MXH92" s="24"/>
      <c r="MXI92" s="24"/>
      <c r="MXJ92" s="24"/>
      <c r="MXK92" s="24"/>
      <c r="MXL92" s="24"/>
      <c r="MXM92" s="24"/>
      <c r="MXN92" s="24"/>
      <c r="MXO92" s="24"/>
      <c r="MXP92" s="24"/>
      <c r="MXQ92" s="24"/>
      <c r="MXR92" s="24"/>
      <c r="MXS92" s="24"/>
      <c r="MXT92" s="24"/>
      <c r="MXU92" s="24"/>
      <c r="MXV92" s="24"/>
      <c r="MXW92" s="24"/>
      <c r="MXX92" s="24"/>
      <c r="MXY92" s="24"/>
      <c r="MXZ92" s="24"/>
      <c r="MYA92" s="24"/>
      <c r="MYB92" s="24"/>
      <c r="MYC92" s="24"/>
      <c r="MYD92" s="24"/>
      <c r="MYE92" s="24"/>
      <c r="MYF92" s="24"/>
      <c r="MYG92" s="24"/>
      <c r="MYH92" s="24"/>
      <c r="MYI92" s="24"/>
      <c r="MYJ92" s="24"/>
      <c r="MYK92" s="24"/>
      <c r="MYL92" s="24"/>
      <c r="MYM92" s="24"/>
      <c r="MYN92" s="24"/>
      <c r="MYO92" s="24"/>
      <c r="MYP92" s="24"/>
      <c r="MYQ92" s="24"/>
      <c r="MYR92" s="24"/>
      <c r="MYS92" s="24"/>
      <c r="MYT92" s="24"/>
      <c r="MYU92" s="24"/>
      <c r="MYV92" s="24"/>
      <c r="MYW92" s="24"/>
      <c r="MYX92" s="24"/>
      <c r="MYY92" s="24"/>
      <c r="MYZ92" s="24"/>
      <c r="MZA92" s="24"/>
      <c r="MZB92" s="24"/>
      <c r="MZC92" s="24"/>
      <c r="MZD92" s="24"/>
      <c r="MZE92" s="24"/>
      <c r="MZF92" s="24"/>
      <c r="MZG92" s="24"/>
      <c r="MZH92" s="24"/>
      <c r="MZI92" s="24"/>
      <c r="MZJ92" s="24"/>
      <c r="MZK92" s="24"/>
      <c r="MZL92" s="24"/>
      <c r="MZM92" s="24"/>
      <c r="MZN92" s="24"/>
      <c r="MZO92" s="24"/>
      <c r="MZP92" s="24"/>
      <c r="MZQ92" s="24"/>
      <c r="MZR92" s="24"/>
      <c r="MZS92" s="24"/>
      <c r="MZT92" s="24"/>
      <c r="MZU92" s="24"/>
      <c r="MZV92" s="24"/>
      <c r="MZW92" s="24"/>
      <c r="MZX92" s="24"/>
      <c r="MZY92" s="24"/>
      <c r="MZZ92" s="24"/>
      <c r="NAA92" s="24"/>
      <c r="NAB92" s="24"/>
      <c r="NAC92" s="24"/>
      <c r="NAD92" s="24"/>
      <c r="NAE92" s="24"/>
      <c r="NAF92" s="24"/>
      <c r="NAG92" s="24"/>
      <c r="NAH92" s="24"/>
      <c r="NAI92" s="24"/>
      <c r="NAJ92" s="24"/>
      <c r="NAK92" s="24"/>
      <c r="NAL92" s="24"/>
      <c r="NAM92" s="24"/>
      <c r="NAN92" s="24"/>
      <c r="NAO92" s="24"/>
      <c r="NAP92" s="24"/>
      <c r="NAQ92" s="24"/>
      <c r="NAR92" s="24"/>
      <c r="NAS92" s="24"/>
      <c r="NAT92" s="24"/>
      <c r="NAU92" s="24"/>
      <c r="NAV92" s="24"/>
      <c r="NAW92" s="24"/>
      <c r="NAX92" s="24"/>
      <c r="NAY92" s="24"/>
      <c r="NAZ92" s="24"/>
      <c r="NBA92" s="24"/>
      <c r="NBB92" s="24"/>
      <c r="NBC92" s="24"/>
      <c r="NBD92" s="24"/>
      <c r="NBE92" s="24"/>
      <c r="NBF92" s="24"/>
      <c r="NBG92" s="24"/>
      <c r="NBH92" s="24"/>
      <c r="NBI92" s="24"/>
      <c r="NBJ92" s="24"/>
      <c r="NBK92" s="24"/>
      <c r="NBL92" s="24"/>
      <c r="NBM92" s="24"/>
      <c r="NBN92" s="24"/>
      <c r="NBO92" s="24"/>
      <c r="NBP92" s="24"/>
      <c r="NBQ92" s="24"/>
      <c r="NBR92" s="24"/>
      <c r="NBS92" s="24"/>
      <c r="NBT92" s="24"/>
      <c r="NBU92" s="24"/>
      <c r="NBV92" s="24"/>
      <c r="NBW92" s="24"/>
      <c r="NBX92" s="24"/>
      <c r="NBY92" s="24"/>
      <c r="NBZ92" s="24"/>
      <c r="NCA92" s="24"/>
      <c r="NCB92" s="24"/>
      <c r="NCC92" s="24"/>
      <c r="NCD92" s="24"/>
      <c r="NCE92" s="24"/>
      <c r="NCF92" s="24"/>
      <c r="NCG92" s="24"/>
      <c r="NCH92" s="24"/>
      <c r="NCI92" s="24"/>
      <c r="NCJ92" s="24"/>
      <c r="NCK92" s="24"/>
      <c r="NCL92" s="24"/>
      <c r="NCM92" s="24"/>
      <c r="NCN92" s="24"/>
      <c r="NCO92" s="24"/>
      <c r="NCP92" s="24"/>
      <c r="NCQ92" s="24"/>
      <c r="NCR92" s="24"/>
      <c r="NCS92" s="24"/>
      <c r="NCT92" s="24"/>
      <c r="NCU92" s="24"/>
      <c r="NCV92" s="24"/>
      <c r="NCW92" s="24"/>
      <c r="NCX92" s="24"/>
      <c r="NCY92" s="24"/>
      <c r="NCZ92" s="24"/>
      <c r="NDA92" s="24"/>
      <c r="NDB92" s="24"/>
      <c r="NDC92" s="24"/>
      <c r="NDD92" s="24"/>
      <c r="NDE92" s="24"/>
      <c r="NDF92" s="24"/>
      <c r="NDG92" s="24"/>
      <c r="NDH92" s="24"/>
      <c r="NDI92" s="24"/>
      <c r="NDJ92" s="24"/>
      <c r="NDK92" s="24"/>
      <c r="NDL92" s="24"/>
      <c r="NDM92" s="24"/>
      <c r="NDN92" s="24"/>
      <c r="NDO92" s="24"/>
      <c r="NDP92" s="24"/>
      <c r="NDQ92" s="24"/>
      <c r="NDR92" s="24"/>
      <c r="NDS92" s="24"/>
      <c r="NDT92" s="24"/>
      <c r="NDU92" s="24"/>
      <c r="NDV92" s="24"/>
      <c r="NDW92" s="24"/>
      <c r="NDX92" s="24"/>
      <c r="NDY92" s="24"/>
      <c r="NDZ92" s="24"/>
      <c r="NEA92" s="24"/>
      <c r="NEB92" s="24"/>
      <c r="NEC92" s="24"/>
      <c r="NED92" s="24"/>
      <c r="NEE92" s="24"/>
      <c r="NEF92" s="24"/>
      <c r="NEG92" s="24"/>
      <c r="NEH92" s="24"/>
      <c r="NEI92" s="24"/>
      <c r="NEJ92" s="24"/>
      <c r="NEK92" s="24"/>
      <c r="NEL92" s="24"/>
      <c r="NEM92" s="24"/>
      <c r="NEN92" s="24"/>
      <c r="NEO92" s="24"/>
      <c r="NEP92" s="24"/>
      <c r="NEQ92" s="24"/>
      <c r="NER92" s="24"/>
      <c r="NES92" s="24"/>
      <c r="NET92" s="24"/>
      <c r="NEU92" s="24"/>
      <c r="NEV92" s="24"/>
      <c r="NEW92" s="24"/>
      <c r="NEX92" s="24"/>
      <c r="NEY92" s="24"/>
      <c r="NEZ92" s="24"/>
      <c r="NFA92" s="24"/>
      <c r="NFB92" s="24"/>
      <c r="NFC92" s="24"/>
      <c r="NFD92" s="24"/>
      <c r="NFE92" s="24"/>
      <c r="NFF92" s="24"/>
      <c r="NFG92" s="24"/>
      <c r="NFH92" s="24"/>
      <c r="NFI92" s="24"/>
      <c r="NFJ92" s="24"/>
      <c r="NFK92" s="24"/>
      <c r="NFL92" s="24"/>
      <c r="NFM92" s="24"/>
      <c r="NFN92" s="24"/>
      <c r="NFO92" s="24"/>
      <c r="NFP92" s="24"/>
      <c r="NFQ92" s="24"/>
      <c r="NFR92" s="24"/>
      <c r="NFS92" s="24"/>
      <c r="NFT92" s="24"/>
      <c r="NFU92" s="24"/>
      <c r="NFV92" s="24"/>
      <c r="NFW92" s="24"/>
      <c r="NFX92" s="24"/>
      <c r="NFY92" s="24"/>
      <c r="NFZ92" s="24"/>
      <c r="NGA92" s="24"/>
      <c r="NGB92" s="24"/>
      <c r="NGC92" s="24"/>
      <c r="NGD92" s="24"/>
      <c r="NGE92" s="24"/>
      <c r="NGF92" s="24"/>
      <c r="NGG92" s="24"/>
      <c r="NGH92" s="24"/>
      <c r="NGI92" s="24"/>
      <c r="NGJ92" s="24"/>
      <c r="NGK92" s="24"/>
      <c r="NGL92" s="24"/>
      <c r="NGM92" s="24"/>
      <c r="NGN92" s="24"/>
      <c r="NGO92" s="24"/>
      <c r="NGP92" s="24"/>
      <c r="NGQ92" s="24"/>
      <c r="NGR92" s="24"/>
      <c r="NGS92" s="24"/>
      <c r="NGT92" s="24"/>
      <c r="NGU92" s="24"/>
      <c r="NGV92" s="24"/>
      <c r="NGW92" s="24"/>
      <c r="NGX92" s="24"/>
      <c r="NGY92" s="24"/>
      <c r="NGZ92" s="24"/>
      <c r="NHA92" s="24"/>
      <c r="NHB92" s="24"/>
      <c r="NHC92" s="24"/>
      <c r="NHD92" s="24"/>
      <c r="NHE92" s="24"/>
      <c r="NHF92" s="24"/>
      <c r="NHG92" s="24"/>
      <c r="NHH92" s="24"/>
      <c r="NHI92" s="24"/>
      <c r="NHJ92" s="24"/>
      <c r="NHK92" s="24"/>
      <c r="NHL92" s="24"/>
      <c r="NHM92" s="24"/>
      <c r="NHN92" s="24"/>
      <c r="NHO92" s="24"/>
      <c r="NHP92" s="24"/>
      <c r="NHQ92" s="24"/>
      <c r="NHR92" s="24"/>
      <c r="NHS92" s="24"/>
      <c r="NHT92" s="24"/>
      <c r="NHU92" s="24"/>
      <c r="NHV92" s="24"/>
      <c r="NHW92" s="24"/>
      <c r="NHX92" s="24"/>
      <c r="NHY92" s="24"/>
      <c r="NHZ92" s="24"/>
      <c r="NIA92" s="24"/>
      <c r="NIB92" s="24"/>
      <c r="NIC92" s="24"/>
      <c r="NID92" s="24"/>
      <c r="NIE92" s="24"/>
      <c r="NIF92" s="24"/>
      <c r="NIG92" s="24"/>
      <c r="NIH92" s="24"/>
      <c r="NII92" s="24"/>
      <c r="NIJ92" s="24"/>
      <c r="NIK92" s="24"/>
      <c r="NIL92" s="24"/>
      <c r="NIM92" s="24"/>
      <c r="NIN92" s="24"/>
      <c r="NIO92" s="24"/>
      <c r="NIP92" s="24"/>
      <c r="NIQ92" s="24"/>
      <c r="NIR92" s="24"/>
      <c r="NIS92" s="24"/>
      <c r="NIT92" s="24"/>
      <c r="NIU92" s="24"/>
      <c r="NIV92" s="24"/>
      <c r="NIW92" s="24"/>
      <c r="NIX92" s="24"/>
      <c r="NIY92" s="24"/>
      <c r="NIZ92" s="24"/>
      <c r="NJA92" s="24"/>
      <c r="NJB92" s="24"/>
      <c r="NJC92" s="24"/>
      <c r="NJD92" s="24"/>
      <c r="NJE92" s="24"/>
      <c r="NJF92" s="24"/>
      <c r="NJG92" s="24"/>
      <c r="NJH92" s="24"/>
      <c r="NJI92" s="24"/>
      <c r="NJJ92" s="24"/>
      <c r="NJK92" s="24"/>
      <c r="NJL92" s="24"/>
      <c r="NJM92" s="24"/>
      <c r="NJN92" s="24"/>
      <c r="NJO92" s="24"/>
      <c r="NJP92" s="24"/>
      <c r="NJQ92" s="24"/>
      <c r="NJR92" s="24"/>
      <c r="NJS92" s="24"/>
      <c r="NJT92" s="24"/>
      <c r="NJU92" s="24"/>
      <c r="NJV92" s="24"/>
      <c r="NJW92" s="24"/>
      <c r="NJX92" s="24"/>
      <c r="NJY92" s="24"/>
      <c r="NJZ92" s="24"/>
      <c r="NKA92" s="24"/>
      <c r="NKB92" s="24"/>
      <c r="NKC92" s="24"/>
      <c r="NKD92" s="24"/>
      <c r="NKE92" s="24"/>
      <c r="NKF92" s="24"/>
      <c r="NKG92" s="24"/>
      <c r="NKH92" s="24"/>
      <c r="NKI92" s="24"/>
      <c r="NKJ92" s="24"/>
      <c r="NKK92" s="24"/>
      <c r="NKL92" s="24"/>
      <c r="NKM92" s="24"/>
      <c r="NKN92" s="24"/>
      <c r="NKO92" s="24"/>
      <c r="NKP92" s="24"/>
      <c r="NKQ92" s="24"/>
      <c r="NKR92" s="24"/>
      <c r="NKS92" s="24"/>
      <c r="NKT92" s="24"/>
      <c r="NKU92" s="24"/>
      <c r="NKV92" s="24"/>
      <c r="NKW92" s="24"/>
      <c r="NKX92" s="24"/>
      <c r="NKY92" s="24"/>
      <c r="NKZ92" s="24"/>
      <c r="NLA92" s="24"/>
      <c r="NLB92" s="24"/>
      <c r="NLC92" s="24"/>
      <c r="NLD92" s="24"/>
      <c r="NLE92" s="24"/>
      <c r="NLF92" s="24"/>
      <c r="NLG92" s="24"/>
      <c r="NLH92" s="24"/>
      <c r="NLI92" s="24"/>
      <c r="NLJ92" s="24"/>
      <c r="NLK92" s="24"/>
      <c r="NLL92" s="24"/>
      <c r="NLM92" s="24"/>
      <c r="NLN92" s="24"/>
      <c r="NLO92" s="24"/>
      <c r="NLP92" s="24"/>
      <c r="NLQ92" s="24"/>
      <c r="NLR92" s="24"/>
      <c r="NLS92" s="24"/>
      <c r="NLT92" s="24"/>
      <c r="NLU92" s="24"/>
      <c r="NLV92" s="24"/>
      <c r="NLW92" s="24"/>
      <c r="NLX92" s="24"/>
      <c r="NLY92" s="24"/>
      <c r="NLZ92" s="24"/>
      <c r="NMA92" s="24"/>
      <c r="NMB92" s="24"/>
      <c r="NMC92" s="24"/>
      <c r="NMD92" s="24"/>
      <c r="NME92" s="24"/>
      <c r="NMF92" s="24"/>
      <c r="NMG92" s="24"/>
      <c r="NMH92" s="24"/>
      <c r="NMI92" s="24"/>
      <c r="NMJ92" s="24"/>
      <c r="NMK92" s="24"/>
      <c r="NML92" s="24"/>
      <c r="NMM92" s="24"/>
      <c r="NMN92" s="24"/>
      <c r="NMO92" s="24"/>
      <c r="NMP92" s="24"/>
      <c r="NMQ92" s="24"/>
      <c r="NMR92" s="24"/>
      <c r="NMS92" s="24"/>
      <c r="NMT92" s="24"/>
      <c r="NMU92" s="24"/>
      <c r="NMV92" s="24"/>
      <c r="NMW92" s="24"/>
      <c r="NMX92" s="24"/>
      <c r="NMY92" s="24"/>
      <c r="NMZ92" s="24"/>
      <c r="NNA92" s="24"/>
      <c r="NNB92" s="24"/>
      <c r="NNC92" s="24"/>
      <c r="NND92" s="24"/>
      <c r="NNE92" s="24"/>
      <c r="NNF92" s="24"/>
      <c r="NNG92" s="24"/>
      <c r="NNH92" s="24"/>
      <c r="NNI92" s="24"/>
      <c r="NNJ92" s="24"/>
      <c r="NNK92" s="24"/>
      <c r="NNL92" s="24"/>
      <c r="NNM92" s="24"/>
      <c r="NNN92" s="24"/>
      <c r="NNO92" s="24"/>
      <c r="NNP92" s="24"/>
      <c r="NNQ92" s="24"/>
      <c r="NNR92" s="24"/>
      <c r="NNS92" s="24"/>
      <c r="NNT92" s="24"/>
      <c r="NNU92" s="24"/>
      <c r="NNV92" s="24"/>
      <c r="NNW92" s="24"/>
      <c r="NNX92" s="24"/>
      <c r="NNY92" s="24"/>
      <c r="NNZ92" s="24"/>
      <c r="NOA92" s="24"/>
      <c r="NOB92" s="24"/>
      <c r="NOC92" s="24"/>
      <c r="NOD92" s="24"/>
      <c r="NOE92" s="24"/>
      <c r="NOF92" s="24"/>
      <c r="NOG92" s="24"/>
      <c r="NOH92" s="24"/>
      <c r="NOI92" s="24"/>
      <c r="NOJ92" s="24"/>
      <c r="NOK92" s="24"/>
      <c r="NOL92" s="24"/>
      <c r="NOM92" s="24"/>
      <c r="NON92" s="24"/>
      <c r="NOO92" s="24"/>
      <c r="NOP92" s="24"/>
      <c r="NOQ92" s="24"/>
      <c r="NOR92" s="24"/>
      <c r="NOS92" s="24"/>
      <c r="NOT92" s="24"/>
      <c r="NOU92" s="24"/>
      <c r="NOV92" s="24"/>
      <c r="NOW92" s="24"/>
      <c r="NOX92" s="24"/>
      <c r="NOY92" s="24"/>
      <c r="NOZ92" s="24"/>
      <c r="NPA92" s="24"/>
      <c r="NPB92" s="24"/>
      <c r="NPC92" s="24"/>
      <c r="NPD92" s="24"/>
      <c r="NPE92" s="24"/>
      <c r="NPF92" s="24"/>
      <c r="NPG92" s="24"/>
      <c r="NPH92" s="24"/>
      <c r="NPI92" s="24"/>
      <c r="NPJ92" s="24"/>
      <c r="NPK92" s="24"/>
      <c r="NPL92" s="24"/>
      <c r="NPM92" s="24"/>
      <c r="NPN92" s="24"/>
      <c r="NPO92" s="24"/>
      <c r="NPP92" s="24"/>
      <c r="NPQ92" s="24"/>
      <c r="NPR92" s="24"/>
      <c r="NPS92" s="24"/>
      <c r="NPT92" s="24"/>
      <c r="NPU92" s="24"/>
      <c r="NPV92" s="24"/>
      <c r="NPW92" s="24"/>
      <c r="NPX92" s="24"/>
      <c r="NPY92" s="24"/>
      <c r="NPZ92" s="24"/>
      <c r="NQA92" s="24"/>
      <c r="NQB92" s="24"/>
      <c r="NQC92" s="24"/>
      <c r="NQD92" s="24"/>
      <c r="NQE92" s="24"/>
      <c r="NQF92" s="24"/>
      <c r="NQG92" s="24"/>
      <c r="NQH92" s="24"/>
      <c r="NQI92" s="24"/>
      <c r="NQJ92" s="24"/>
      <c r="NQK92" s="24"/>
      <c r="NQL92" s="24"/>
      <c r="NQM92" s="24"/>
      <c r="NQN92" s="24"/>
      <c r="NQO92" s="24"/>
      <c r="NQP92" s="24"/>
      <c r="NQQ92" s="24"/>
      <c r="NQR92" s="24"/>
      <c r="NQS92" s="24"/>
      <c r="NQT92" s="24"/>
      <c r="NQU92" s="24"/>
      <c r="NQV92" s="24"/>
      <c r="NQW92" s="24"/>
      <c r="NQX92" s="24"/>
      <c r="NQY92" s="24"/>
      <c r="NQZ92" s="24"/>
      <c r="NRA92" s="24"/>
      <c r="NRB92" s="24"/>
      <c r="NRC92" s="24"/>
      <c r="NRD92" s="24"/>
      <c r="NRE92" s="24"/>
      <c r="NRF92" s="24"/>
      <c r="NRG92" s="24"/>
      <c r="NRH92" s="24"/>
      <c r="NRI92" s="24"/>
      <c r="NRJ92" s="24"/>
      <c r="NRK92" s="24"/>
      <c r="NRL92" s="24"/>
      <c r="NRM92" s="24"/>
      <c r="NRN92" s="24"/>
      <c r="NRO92" s="24"/>
      <c r="NRP92" s="24"/>
      <c r="NRQ92" s="24"/>
      <c r="NRR92" s="24"/>
      <c r="NRS92" s="24"/>
      <c r="NRT92" s="24"/>
      <c r="NRU92" s="24"/>
      <c r="NRV92" s="24"/>
      <c r="NRW92" s="24"/>
      <c r="NRX92" s="24"/>
      <c r="NRY92" s="24"/>
      <c r="NRZ92" s="24"/>
      <c r="NSA92" s="24"/>
      <c r="NSB92" s="24"/>
      <c r="NSC92" s="24"/>
      <c r="NSD92" s="24"/>
      <c r="NSE92" s="24"/>
      <c r="NSF92" s="24"/>
      <c r="NSG92" s="24"/>
      <c r="NSH92" s="24"/>
      <c r="NSI92" s="24"/>
      <c r="NSJ92" s="24"/>
      <c r="NSK92" s="24"/>
      <c r="NSL92" s="24"/>
      <c r="NSM92" s="24"/>
      <c r="NSN92" s="24"/>
      <c r="NSO92" s="24"/>
      <c r="NSP92" s="24"/>
      <c r="NSQ92" s="24"/>
      <c r="NSR92" s="24"/>
      <c r="NSS92" s="24"/>
      <c r="NST92" s="24"/>
      <c r="NSU92" s="24"/>
      <c r="NSV92" s="24"/>
      <c r="NSW92" s="24"/>
      <c r="NSX92" s="24"/>
      <c r="NSY92" s="24"/>
      <c r="NSZ92" s="24"/>
      <c r="NTA92" s="24"/>
      <c r="NTB92" s="24"/>
      <c r="NTC92" s="24"/>
      <c r="NTD92" s="24"/>
      <c r="NTE92" s="24"/>
      <c r="NTF92" s="24"/>
      <c r="NTG92" s="24"/>
      <c r="NTH92" s="24"/>
      <c r="NTI92" s="24"/>
      <c r="NTJ92" s="24"/>
      <c r="NTK92" s="24"/>
      <c r="NTL92" s="24"/>
      <c r="NTM92" s="24"/>
      <c r="NTN92" s="24"/>
      <c r="NTO92" s="24"/>
      <c r="NTP92" s="24"/>
      <c r="NTQ92" s="24"/>
      <c r="NTR92" s="24"/>
      <c r="NTS92" s="24"/>
      <c r="NTT92" s="24"/>
      <c r="NTU92" s="24"/>
      <c r="NTV92" s="24"/>
      <c r="NTW92" s="24"/>
      <c r="NTX92" s="24"/>
      <c r="NTY92" s="24"/>
      <c r="NTZ92" s="24"/>
      <c r="NUA92" s="24"/>
      <c r="NUB92" s="24"/>
      <c r="NUC92" s="24"/>
      <c r="NUD92" s="24"/>
      <c r="NUE92" s="24"/>
      <c r="NUF92" s="24"/>
      <c r="NUG92" s="24"/>
      <c r="NUH92" s="24"/>
      <c r="NUI92" s="24"/>
      <c r="NUJ92" s="24"/>
      <c r="NUK92" s="24"/>
      <c r="NUL92" s="24"/>
      <c r="NUM92" s="24"/>
      <c r="NUN92" s="24"/>
      <c r="NUO92" s="24"/>
      <c r="NUP92" s="24"/>
      <c r="NUQ92" s="24"/>
      <c r="NUR92" s="24"/>
      <c r="NUS92" s="24"/>
      <c r="NUT92" s="24"/>
      <c r="NUU92" s="24"/>
      <c r="NUV92" s="24"/>
      <c r="NUW92" s="24"/>
      <c r="NUX92" s="24"/>
      <c r="NUY92" s="24"/>
      <c r="NUZ92" s="24"/>
      <c r="NVA92" s="24"/>
      <c r="NVB92" s="24"/>
      <c r="NVC92" s="24"/>
      <c r="NVD92" s="24"/>
      <c r="NVE92" s="24"/>
      <c r="NVF92" s="24"/>
      <c r="NVG92" s="24"/>
      <c r="NVH92" s="24"/>
      <c r="NVI92" s="24"/>
      <c r="NVJ92" s="24"/>
      <c r="NVK92" s="24"/>
      <c r="NVL92" s="24"/>
      <c r="NVM92" s="24"/>
      <c r="NVN92" s="24"/>
      <c r="NVO92" s="24"/>
      <c r="NVP92" s="24"/>
      <c r="NVQ92" s="24"/>
      <c r="NVR92" s="24"/>
      <c r="NVS92" s="24"/>
      <c r="NVT92" s="24"/>
      <c r="NVU92" s="24"/>
      <c r="NVV92" s="24"/>
      <c r="NVW92" s="24"/>
      <c r="NVX92" s="24"/>
      <c r="NVY92" s="24"/>
      <c r="NVZ92" s="24"/>
      <c r="NWA92" s="24"/>
      <c r="NWB92" s="24"/>
      <c r="NWC92" s="24"/>
      <c r="NWD92" s="24"/>
      <c r="NWE92" s="24"/>
      <c r="NWF92" s="24"/>
      <c r="NWG92" s="24"/>
      <c r="NWH92" s="24"/>
      <c r="NWI92" s="24"/>
      <c r="NWJ92" s="24"/>
      <c r="NWK92" s="24"/>
      <c r="NWL92" s="24"/>
      <c r="NWM92" s="24"/>
      <c r="NWN92" s="24"/>
      <c r="NWO92" s="24"/>
      <c r="NWP92" s="24"/>
      <c r="NWQ92" s="24"/>
      <c r="NWR92" s="24"/>
      <c r="NWS92" s="24"/>
      <c r="NWT92" s="24"/>
      <c r="NWU92" s="24"/>
      <c r="NWV92" s="24"/>
      <c r="NWW92" s="24"/>
      <c r="NWX92" s="24"/>
      <c r="NWY92" s="24"/>
      <c r="NWZ92" s="24"/>
      <c r="NXA92" s="24"/>
      <c r="NXB92" s="24"/>
      <c r="NXC92" s="24"/>
      <c r="NXD92" s="24"/>
      <c r="NXE92" s="24"/>
      <c r="NXF92" s="24"/>
      <c r="NXG92" s="24"/>
      <c r="NXH92" s="24"/>
      <c r="NXI92" s="24"/>
      <c r="NXJ92" s="24"/>
      <c r="NXK92" s="24"/>
      <c r="NXL92" s="24"/>
      <c r="NXM92" s="24"/>
      <c r="NXN92" s="24"/>
      <c r="NXO92" s="24"/>
      <c r="NXP92" s="24"/>
      <c r="NXQ92" s="24"/>
      <c r="NXR92" s="24"/>
      <c r="NXS92" s="24"/>
      <c r="NXT92" s="24"/>
      <c r="NXU92" s="24"/>
      <c r="NXV92" s="24"/>
      <c r="NXW92" s="24"/>
      <c r="NXX92" s="24"/>
      <c r="NXY92" s="24"/>
      <c r="NXZ92" s="24"/>
      <c r="NYA92" s="24"/>
      <c r="NYB92" s="24"/>
      <c r="NYC92" s="24"/>
      <c r="NYD92" s="24"/>
      <c r="NYE92" s="24"/>
      <c r="NYF92" s="24"/>
      <c r="NYG92" s="24"/>
      <c r="NYH92" s="24"/>
      <c r="NYI92" s="24"/>
      <c r="NYJ92" s="24"/>
      <c r="NYK92" s="24"/>
      <c r="NYL92" s="24"/>
      <c r="NYM92" s="24"/>
      <c r="NYN92" s="24"/>
      <c r="NYO92" s="24"/>
      <c r="NYP92" s="24"/>
      <c r="NYQ92" s="24"/>
      <c r="NYR92" s="24"/>
      <c r="NYS92" s="24"/>
      <c r="NYT92" s="24"/>
      <c r="NYU92" s="24"/>
      <c r="NYV92" s="24"/>
      <c r="NYW92" s="24"/>
      <c r="NYX92" s="24"/>
      <c r="NYY92" s="24"/>
      <c r="NYZ92" s="24"/>
      <c r="NZA92" s="24"/>
      <c r="NZB92" s="24"/>
      <c r="NZC92" s="24"/>
      <c r="NZD92" s="24"/>
      <c r="NZE92" s="24"/>
      <c r="NZF92" s="24"/>
      <c r="NZG92" s="24"/>
      <c r="NZH92" s="24"/>
      <c r="NZI92" s="24"/>
      <c r="NZJ92" s="24"/>
      <c r="NZK92" s="24"/>
      <c r="NZL92" s="24"/>
      <c r="NZM92" s="24"/>
      <c r="NZN92" s="24"/>
      <c r="NZO92" s="24"/>
      <c r="NZP92" s="24"/>
      <c r="NZQ92" s="24"/>
      <c r="NZR92" s="24"/>
      <c r="NZS92" s="24"/>
      <c r="NZT92" s="24"/>
      <c r="NZU92" s="24"/>
      <c r="NZV92" s="24"/>
      <c r="NZW92" s="24"/>
      <c r="NZX92" s="24"/>
      <c r="NZY92" s="24"/>
      <c r="NZZ92" s="24"/>
      <c r="OAA92" s="24"/>
      <c r="OAB92" s="24"/>
      <c r="OAC92" s="24"/>
      <c r="OAD92" s="24"/>
      <c r="OAE92" s="24"/>
      <c r="OAF92" s="24"/>
      <c r="OAG92" s="24"/>
      <c r="OAH92" s="24"/>
      <c r="OAI92" s="24"/>
      <c r="OAJ92" s="24"/>
      <c r="OAK92" s="24"/>
      <c r="OAL92" s="24"/>
      <c r="OAM92" s="24"/>
      <c r="OAN92" s="24"/>
      <c r="OAO92" s="24"/>
      <c r="OAP92" s="24"/>
      <c r="OAQ92" s="24"/>
      <c r="OAR92" s="24"/>
      <c r="OAS92" s="24"/>
      <c r="OAT92" s="24"/>
      <c r="OAU92" s="24"/>
      <c r="OAV92" s="24"/>
      <c r="OAW92" s="24"/>
      <c r="OAX92" s="24"/>
      <c r="OAY92" s="24"/>
      <c r="OAZ92" s="24"/>
      <c r="OBA92" s="24"/>
      <c r="OBB92" s="24"/>
      <c r="OBC92" s="24"/>
      <c r="OBD92" s="24"/>
      <c r="OBE92" s="24"/>
      <c r="OBF92" s="24"/>
      <c r="OBG92" s="24"/>
      <c r="OBH92" s="24"/>
      <c r="OBI92" s="24"/>
      <c r="OBJ92" s="24"/>
      <c r="OBK92" s="24"/>
      <c r="OBL92" s="24"/>
      <c r="OBM92" s="24"/>
      <c r="OBN92" s="24"/>
      <c r="OBO92" s="24"/>
      <c r="OBP92" s="24"/>
      <c r="OBQ92" s="24"/>
      <c r="OBR92" s="24"/>
      <c r="OBS92" s="24"/>
      <c r="OBT92" s="24"/>
      <c r="OBU92" s="24"/>
      <c r="OBV92" s="24"/>
      <c r="OBW92" s="24"/>
      <c r="OBX92" s="24"/>
      <c r="OBY92" s="24"/>
      <c r="OBZ92" s="24"/>
      <c r="OCA92" s="24"/>
      <c r="OCB92" s="24"/>
      <c r="OCC92" s="24"/>
      <c r="OCD92" s="24"/>
      <c r="OCE92" s="24"/>
      <c r="OCF92" s="24"/>
      <c r="OCG92" s="24"/>
      <c r="OCH92" s="24"/>
      <c r="OCI92" s="24"/>
      <c r="OCJ92" s="24"/>
      <c r="OCK92" s="24"/>
      <c r="OCL92" s="24"/>
      <c r="OCM92" s="24"/>
      <c r="OCN92" s="24"/>
      <c r="OCO92" s="24"/>
      <c r="OCP92" s="24"/>
      <c r="OCQ92" s="24"/>
      <c r="OCR92" s="24"/>
      <c r="OCS92" s="24"/>
      <c r="OCT92" s="24"/>
      <c r="OCU92" s="24"/>
      <c r="OCV92" s="24"/>
      <c r="OCW92" s="24"/>
      <c r="OCX92" s="24"/>
      <c r="OCY92" s="24"/>
      <c r="OCZ92" s="24"/>
      <c r="ODA92" s="24"/>
      <c r="ODB92" s="24"/>
      <c r="ODC92" s="24"/>
      <c r="ODD92" s="24"/>
      <c r="ODE92" s="24"/>
      <c r="ODF92" s="24"/>
      <c r="ODG92" s="24"/>
      <c r="ODH92" s="24"/>
      <c r="ODI92" s="24"/>
      <c r="ODJ92" s="24"/>
      <c r="ODK92" s="24"/>
      <c r="ODL92" s="24"/>
      <c r="ODM92" s="24"/>
      <c r="ODN92" s="24"/>
      <c r="ODO92" s="24"/>
      <c r="ODP92" s="24"/>
      <c r="ODQ92" s="24"/>
      <c r="ODR92" s="24"/>
      <c r="ODS92" s="24"/>
      <c r="ODT92" s="24"/>
      <c r="ODU92" s="24"/>
      <c r="ODV92" s="24"/>
      <c r="ODW92" s="24"/>
      <c r="ODX92" s="24"/>
      <c r="ODY92" s="24"/>
      <c r="ODZ92" s="24"/>
      <c r="OEA92" s="24"/>
      <c r="OEB92" s="24"/>
      <c r="OEC92" s="24"/>
      <c r="OED92" s="24"/>
      <c r="OEE92" s="24"/>
      <c r="OEF92" s="24"/>
      <c r="OEG92" s="24"/>
      <c r="OEH92" s="24"/>
      <c r="OEI92" s="24"/>
      <c r="OEJ92" s="24"/>
      <c r="OEK92" s="24"/>
      <c r="OEL92" s="24"/>
      <c r="OEM92" s="24"/>
      <c r="OEN92" s="24"/>
      <c r="OEO92" s="24"/>
      <c r="OEP92" s="24"/>
      <c r="OEQ92" s="24"/>
      <c r="OER92" s="24"/>
      <c r="OES92" s="24"/>
      <c r="OET92" s="24"/>
      <c r="OEU92" s="24"/>
      <c r="OEV92" s="24"/>
      <c r="OEW92" s="24"/>
      <c r="OEX92" s="24"/>
      <c r="OEY92" s="24"/>
      <c r="OEZ92" s="24"/>
      <c r="OFA92" s="24"/>
      <c r="OFB92" s="24"/>
      <c r="OFC92" s="24"/>
      <c r="OFD92" s="24"/>
      <c r="OFE92" s="24"/>
      <c r="OFF92" s="24"/>
      <c r="OFG92" s="24"/>
      <c r="OFH92" s="24"/>
      <c r="OFI92" s="24"/>
      <c r="OFJ92" s="24"/>
      <c r="OFK92" s="24"/>
      <c r="OFL92" s="24"/>
      <c r="OFM92" s="24"/>
      <c r="OFN92" s="24"/>
      <c r="OFO92" s="24"/>
      <c r="OFP92" s="24"/>
      <c r="OFQ92" s="24"/>
      <c r="OFR92" s="24"/>
      <c r="OFS92" s="24"/>
      <c r="OFT92" s="24"/>
      <c r="OFU92" s="24"/>
      <c r="OFV92" s="24"/>
      <c r="OFW92" s="24"/>
      <c r="OFX92" s="24"/>
      <c r="OFY92" s="24"/>
      <c r="OFZ92" s="24"/>
      <c r="OGA92" s="24"/>
      <c r="OGB92" s="24"/>
      <c r="OGC92" s="24"/>
      <c r="OGD92" s="24"/>
      <c r="OGE92" s="24"/>
      <c r="OGF92" s="24"/>
      <c r="OGG92" s="24"/>
      <c r="OGH92" s="24"/>
      <c r="OGI92" s="24"/>
      <c r="OGJ92" s="24"/>
      <c r="OGK92" s="24"/>
      <c r="OGL92" s="24"/>
      <c r="OGM92" s="24"/>
      <c r="OGN92" s="24"/>
      <c r="OGO92" s="24"/>
      <c r="OGP92" s="24"/>
      <c r="OGQ92" s="24"/>
      <c r="OGR92" s="24"/>
      <c r="OGS92" s="24"/>
      <c r="OGT92" s="24"/>
      <c r="OGU92" s="24"/>
      <c r="OGV92" s="24"/>
      <c r="OGW92" s="24"/>
      <c r="OGX92" s="24"/>
      <c r="OGY92" s="24"/>
      <c r="OGZ92" s="24"/>
      <c r="OHA92" s="24"/>
      <c r="OHB92" s="24"/>
      <c r="OHC92" s="24"/>
      <c r="OHD92" s="24"/>
      <c r="OHE92" s="24"/>
      <c r="OHF92" s="24"/>
      <c r="OHG92" s="24"/>
      <c r="OHH92" s="24"/>
      <c r="OHI92" s="24"/>
      <c r="OHJ92" s="24"/>
      <c r="OHK92" s="24"/>
      <c r="OHL92" s="24"/>
      <c r="OHM92" s="24"/>
      <c r="OHN92" s="24"/>
      <c r="OHO92" s="24"/>
      <c r="OHP92" s="24"/>
      <c r="OHQ92" s="24"/>
      <c r="OHR92" s="24"/>
      <c r="OHS92" s="24"/>
      <c r="OHT92" s="24"/>
      <c r="OHU92" s="24"/>
      <c r="OHV92" s="24"/>
      <c r="OHW92" s="24"/>
      <c r="OHX92" s="24"/>
      <c r="OHY92" s="24"/>
      <c r="OHZ92" s="24"/>
      <c r="OIA92" s="24"/>
      <c r="OIB92" s="24"/>
      <c r="OIC92" s="24"/>
      <c r="OID92" s="24"/>
      <c r="OIE92" s="24"/>
      <c r="OIF92" s="24"/>
      <c r="OIG92" s="24"/>
      <c r="OIH92" s="24"/>
      <c r="OII92" s="24"/>
      <c r="OIJ92" s="24"/>
      <c r="OIK92" s="24"/>
      <c r="OIL92" s="24"/>
      <c r="OIM92" s="24"/>
      <c r="OIN92" s="24"/>
      <c r="OIO92" s="24"/>
      <c r="OIP92" s="24"/>
      <c r="OIQ92" s="24"/>
      <c r="OIR92" s="24"/>
      <c r="OIS92" s="24"/>
      <c r="OIT92" s="24"/>
      <c r="OIU92" s="24"/>
      <c r="OIV92" s="24"/>
      <c r="OIW92" s="24"/>
      <c r="OIX92" s="24"/>
      <c r="OIY92" s="24"/>
      <c r="OIZ92" s="24"/>
      <c r="OJA92" s="24"/>
      <c r="OJB92" s="24"/>
      <c r="OJC92" s="24"/>
      <c r="OJD92" s="24"/>
      <c r="OJE92" s="24"/>
      <c r="OJF92" s="24"/>
      <c r="OJG92" s="24"/>
      <c r="OJH92" s="24"/>
      <c r="OJI92" s="24"/>
      <c r="OJJ92" s="24"/>
      <c r="OJK92" s="24"/>
      <c r="OJL92" s="24"/>
      <c r="OJM92" s="24"/>
      <c r="OJN92" s="24"/>
      <c r="OJO92" s="24"/>
      <c r="OJP92" s="24"/>
      <c r="OJQ92" s="24"/>
      <c r="OJR92" s="24"/>
      <c r="OJS92" s="24"/>
      <c r="OJT92" s="24"/>
      <c r="OJU92" s="24"/>
      <c r="OJV92" s="24"/>
      <c r="OJW92" s="24"/>
      <c r="OJX92" s="24"/>
      <c r="OJY92" s="24"/>
      <c r="OJZ92" s="24"/>
      <c r="OKA92" s="24"/>
      <c r="OKB92" s="24"/>
      <c r="OKC92" s="24"/>
      <c r="OKD92" s="24"/>
      <c r="OKE92" s="24"/>
      <c r="OKF92" s="24"/>
      <c r="OKG92" s="24"/>
      <c r="OKH92" s="24"/>
      <c r="OKI92" s="24"/>
      <c r="OKJ92" s="24"/>
      <c r="OKK92" s="24"/>
      <c r="OKL92" s="24"/>
      <c r="OKM92" s="24"/>
      <c r="OKN92" s="24"/>
      <c r="OKO92" s="24"/>
      <c r="OKP92" s="24"/>
      <c r="OKQ92" s="24"/>
      <c r="OKR92" s="24"/>
      <c r="OKS92" s="24"/>
      <c r="OKT92" s="24"/>
      <c r="OKU92" s="24"/>
      <c r="OKV92" s="24"/>
      <c r="OKW92" s="24"/>
      <c r="OKX92" s="24"/>
      <c r="OKY92" s="24"/>
      <c r="OKZ92" s="24"/>
      <c r="OLA92" s="24"/>
      <c r="OLB92" s="24"/>
      <c r="OLC92" s="24"/>
      <c r="OLD92" s="24"/>
      <c r="OLE92" s="24"/>
      <c r="OLF92" s="24"/>
      <c r="OLG92" s="24"/>
      <c r="OLH92" s="24"/>
      <c r="OLI92" s="24"/>
      <c r="OLJ92" s="24"/>
      <c r="OLK92" s="24"/>
      <c r="OLL92" s="24"/>
      <c r="OLM92" s="24"/>
      <c r="OLN92" s="24"/>
      <c r="OLO92" s="24"/>
      <c r="OLP92" s="24"/>
      <c r="OLQ92" s="24"/>
      <c r="OLR92" s="24"/>
      <c r="OLS92" s="24"/>
      <c r="OLT92" s="24"/>
      <c r="OLU92" s="24"/>
      <c r="OLV92" s="24"/>
      <c r="OLW92" s="24"/>
      <c r="OLX92" s="24"/>
      <c r="OLY92" s="24"/>
      <c r="OLZ92" s="24"/>
      <c r="OMA92" s="24"/>
      <c r="OMB92" s="24"/>
      <c r="OMC92" s="24"/>
      <c r="OMD92" s="24"/>
      <c r="OME92" s="24"/>
      <c r="OMF92" s="24"/>
      <c r="OMG92" s="24"/>
      <c r="OMH92" s="24"/>
      <c r="OMI92" s="24"/>
      <c r="OMJ92" s="24"/>
      <c r="OMK92" s="24"/>
      <c r="OML92" s="24"/>
      <c r="OMM92" s="24"/>
      <c r="OMN92" s="24"/>
      <c r="OMO92" s="24"/>
      <c r="OMP92" s="24"/>
      <c r="OMQ92" s="24"/>
      <c r="OMR92" s="24"/>
      <c r="OMS92" s="24"/>
      <c r="OMT92" s="24"/>
      <c r="OMU92" s="24"/>
      <c r="OMV92" s="24"/>
      <c r="OMW92" s="24"/>
      <c r="OMX92" s="24"/>
      <c r="OMY92" s="24"/>
      <c r="OMZ92" s="24"/>
      <c r="ONA92" s="24"/>
      <c r="ONB92" s="24"/>
      <c r="ONC92" s="24"/>
      <c r="OND92" s="24"/>
      <c r="ONE92" s="24"/>
      <c r="ONF92" s="24"/>
      <c r="ONG92" s="24"/>
      <c r="ONH92" s="24"/>
      <c r="ONI92" s="24"/>
      <c r="ONJ92" s="24"/>
      <c r="ONK92" s="24"/>
      <c r="ONL92" s="24"/>
      <c r="ONM92" s="24"/>
      <c r="ONN92" s="24"/>
      <c r="ONO92" s="24"/>
      <c r="ONP92" s="24"/>
      <c r="ONQ92" s="24"/>
      <c r="ONR92" s="24"/>
      <c r="ONS92" s="24"/>
      <c r="ONT92" s="24"/>
      <c r="ONU92" s="24"/>
      <c r="ONV92" s="24"/>
      <c r="ONW92" s="24"/>
      <c r="ONX92" s="24"/>
      <c r="ONY92" s="24"/>
      <c r="ONZ92" s="24"/>
      <c r="OOA92" s="24"/>
      <c r="OOB92" s="24"/>
      <c r="OOC92" s="24"/>
      <c r="OOD92" s="24"/>
      <c r="OOE92" s="24"/>
      <c r="OOF92" s="24"/>
      <c r="OOG92" s="24"/>
      <c r="OOH92" s="24"/>
      <c r="OOI92" s="24"/>
      <c r="OOJ92" s="24"/>
      <c r="OOK92" s="24"/>
      <c r="OOL92" s="24"/>
      <c r="OOM92" s="24"/>
      <c r="OON92" s="24"/>
      <c r="OOO92" s="24"/>
      <c r="OOP92" s="24"/>
      <c r="OOQ92" s="24"/>
      <c r="OOR92" s="24"/>
      <c r="OOS92" s="24"/>
      <c r="OOT92" s="24"/>
      <c r="OOU92" s="24"/>
      <c r="OOV92" s="24"/>
      <c r="OOW92" s="24"/>
      <c r="OOX92" s="24"/>
      <c r="OOY92" s="24"/>
      <c r="OOZ92" s="24"/>
      <c r="OPA92" s="24"/>
      <c r="OPB92" s="24"/>
      <c r="OPC92" s="24"/>
      <c r="OPD92" s="24"/>
      <c r="OPE92" s="24"/>
      <c r="OPF92" s="24"/>
      <c r="OPG92" s="24"/>
      <c r="OPH92" s="24"/>
      <c r="OPI92" s="24"/>
      <c r="OPJ92" s="24"/>
      <c r="OPK92" s="24"/>
      <c r="OPL92" s="24"/>
      <c r="OPM92" s="24"/>
      <c r="OPN92" s="24"/>
      <c r="OPO92" s="24"/>
      <c r="OPP92" s="24"/>
      <c r="OPQ92" s="24"/>
      <c r="OPR92" s="24"/>
      <c r="OPS92" s="24"/>
      <c r="OPT92" s="24"/>
      <c r="OPU92" s="24"/>
      <c r="OPV92" s="24"/>
      <c r="OPW92" s="24"/>
      <c r="OPX92" s="24"/>
      <c r="OPY92" s="24"/>
      <c r="OPZ92" s="24"/>
      <c r="OQA92" s="24"/>
      <c r="OQB92" s="24"/>
      <c r="OQC92" s="24"/>
      <c r="OQD92" s="24"/>
      <c r="OQE92" s="24"/>
      <c r="OQF92" s="24"/>
      <c r="OQG92" s="24"/>
      <c r="OQH92" s="24"/>
      <c r="OQI92" s="24"/>
      <c r="OQJ92" s="24"/>
      <c r="OQK92" s="24"/>
      <c r="OQL92" s="24"/>
      <c r="OQM92" s="24"/>
      <c r="OQN92" s="24"/>
      <c r="OQO92" s="24"/>
      <c r="OQP92" s="24"/>
      <c r="OQQ92" s="24"/>
      <c r="OQR92" s="24"/>
      <c r="OQS92" s="24"/>
      <c r="OQT92" s="24"/>
      <c r="OQU92" s="24"/>
      <c r="OQV92" s="24"/>
      <c r="OQW92" s="24"/>
      <c r="OQX92" s="24"/>
      <c r="OQY92" s="24"/>
      <c r="OQZ92" s="24"/>
      <c r="ORA92" s="24"/>
      <c r="ORB92" s="24"/>
      <c r="ORC92" s="24"/>
      <c r="ORD92" s="24"/>
      <c r="ORE92" s="24"/>
      <c r="ORF92" s="24"/>
      <c r="ORG92" s="24"/>
      <c r="ORH92" s="24"/>
      <c r="ORI92" s="24"/>
      <c r="ORJ92" s="24"/>
      <c r="ORK92" s="24"/>
      <c r="ORL92" s="24"/>
      <c r="ORM92" s="24"/>
      <c r="ORN92" s="24"/>
      <c r="ORO92" s="24"/>
      <c r="ORP92" s="24"/>
      <c r="ORQ92" s="24"/>
      <c r="ORR92" s="24"/>
      <c r="ORS92" s="24"/>
      <c r="ORT92" s="24"/>
      <c r="ORU92" s="24"/>
      <c r="ORV92" s="24"/>
      <c r="ORW92" s="24"/>
      <c r="ORX92" s="24"/>
      <c r="ORY92" s="24"/>
      <c r="ORZ92" s="24"/>
      <c r="OSA92" s="24"/>
      <c r="OSB92" s="24"/>
      <c r="OSC92" s="24"/>
      <c r="OSD92" s="24"/>
      <c r="OSE92" s="24"/>
      <c r="OSF92" s="24"/>
      <c r="OSG92" s="24"/>
      <c r="OSH92" s="24"/>
      <c r="OSI92" s="24"/>
      <c r="OSJ92" s="24"/>
      <c r="OSK92" s="24"/>
      <c r="OSL92" s="24"/>
      <c r="OSM92" s="24"/>
      <c r="OSN92" s="24"/>
      <c r="OSO92" s="24"/>
      <c r="OSP92" s="24"/>
      <c r="OSQ92" s="24"/>
      <c r="OSR92" s="24"/>
      <c r="OSS92" s="24"/>
      <c r="OST92" s="24"/>
      <c r="OSU92" s="24"/>
      <c r="OSV92" s="24"/>
      <c r="OSW92" s="24"/>
      <c r="OSX92" s="24"/>
      <c r="OSY92" s="24"/>
      <c r="OSZ92" s="24"/>
      <c r="OTA92" s="24"/>
      <c r="OTB92" s="24"/>
      <c r="OTC92" s="24"/>
      <c r="OTD92" s="24"/>
      <c r="OTE92" s="24"/>
      <c r="OTF92" s="24"/>
      <c r="OTG92" s="24"/>
      <c r="OTH92" s="24"/>
      <c r="OTI92" s="24"/>
      <c r="OTJ92" s="24"/>
      <c r="OTK92" s="24"/>
      <c r="OTL92" s="24"/>
      <c r="OTM92" s="24"/>
      <c r="OTN92" s="24"/>
      <c r="OTO92" s="24"/>
      <c r="OTP92" s="24"/>
      <c r="OTQ92" s="24"/>
      <c r="OTR92" s="24"/>
      <c r="OTS92" s="24"/>
      <c r="OTT92" s="24"/>
      <c r="OTU92" s="24"/>
      <c r="OTV92" s="24"/>
      <c r="OTW92" s="24"/>
      <c r="OTX92" s="24"/>
      <c r="OTY92" s="24"/>
      <c r="OTZ92" s="24"/>
      <c r="OUA92" s="24"/>
      <c r="OUB92" s="24"/>
      <c r="OUC92" s="24"/>
      <c r="OUD92" s="24"/>
      <c r="OUE92" s="24"/>
      <c r="OUF92" s="24"/>
      <c r="OUG92" s="24"/>
      <c r="OUH92" s="24"/>
      <c r="OUI92" s="24"/>
      <c r="OUJ92" s="24"/>
      <c r="OUK92" s="24"/>
      <c r="OUL92" s="24"/>
      <c r="OUM92" s="24"/>
      <c r="OUN92" s="24"/>
      <c r="OUO92" s="24"/>
      <c r="OUP92" s="24"/>
      <c r="OUQ92" s="24"/>
      <c r="OUR92" s="24"/>
      <c r="OUS92" s="24"/>
      <c r="OUT92" s="24"/>
      <c r="OUU92" s="24"/>
      <c r="OUV92" s="24"/>
      <c r="OUW92" s="24"/>
      <c r="OUX92" s="24"/>
      <c r="OUY92" s="24"/>
      <c r="OUZ92" s="24"/>
      <c r="OVA92" s="24"/>
      <c r="OVB92" s="24"/>
      <c r="OVC92" s="24"/>
      <c r="OVD92" s="24"/>
      <c r="OVE92" s="24"/>
      <c r="OVF92" s="24"/>
      <c r="OVG92" s="24"/>
      <c r="OVH92" s="24"/>
      <c r="OVI92" s="24"/>
      <c r="OVJ92" s="24"/>
      <c r="OVK92" s="24"/>
      <c r="OVL92" s="24"/>
      <c r="OVM92" s="24"/>
      <c r="OVN92" s="24"/>
      <c r="OVO92" s="24"/>
      <c r="OVP92" s="24"/>
      <c r="OVQ92" s="24"/>
      <c r="OVR92" s="24"/>
      <c r="OVS92" s="24"/>
      <c r="OVT92" s="24"/>
      <c r="OVU92" s="24"/>
      <c r="OVV92" s="24"/>
      <c r="OVW92" s="24"/>
      <c r="OVX92" s="24"/>
      <c r="OVY92" s="24"/>
      <c r="OVZ92" s="24"/>
      <c r="OWA92" s="24"/>
      <c r="OWB92" s="24"/>
      <c r="OWC92" s="24"/>
      <c r="OWD92" s="24"/>
      <c r="OWE92" s="24"/>
      <c r="OWF92" s="24"/>
      <c r="OWG92" s="24"/>
      <c r="OWH92" s="24"/>
      <c r="OWI92" s="24"/>
      <c r="OWJ92" s="24"/>
      <c r="OWK92" s="24"/>
      <c r="OWL92" s="24"/>
      <c r="OWM92" s="24"/>
      <c r="OWN92" s="24"/>
      <c r="OWO92" s="24"/>
      <c r="OWP92" s="24"/>
      <c r="OWQ92" s="24"/>
      <c r="OWR92" s="24"/>
      <c r="OWS92" s="24"/>
      <c r="OWT92" s="24"/>
      <c r="OWU92" s="24"/>
      <c r="OWV92" s="24"/>
      <c r="OWW92" s="24"/>
      <c r="OWX92" s="24"/>
      <c r="OWY92" s="24"/>
      <c r="OWZ92" s="24"/>
      <c r="OXA92" s="24"/>
      <c r="OXB92" s="24"/>
      <c r="OXC92" s="24"/>
      <c r="OXD92" s="24"/>
      <c r="OXE92" s="24"/>
      <c r="OXF92" s="24"/>
      <c r="OXG92" s="24"/>
      <c r="OXH92" s="24"/>
      <c r="OXI92" s="24"/>
      <c r="OXJ92" s="24"/>
      <c r="OXK92" s="24"/>
      <c r="OXL92" s="24"/>
      <c r="OXM92" s="24"/>
      <c r="OXN92" s="24"/>
      <c r="OXO92" s="24"/>
      <c r="OXP92" s="24"/>
      <c r="OXQ92" s="24"/>
      <c r="OXR92" s="24"/>
      <c r="OXS92" s="24"/>
      <c r="OXT92" s="24"/>
      <c r="OXU92" s="24"/>
      <c r="OXV92" s="24"/>
      <c r="OXW92" s="24"/>
      <c r="OXX92" s="24"/>
      <c r="OXY92" s="24"/>
      <c r="OXZ92" s="24"/>
      <c r="OYA92" s="24"/>
      <c r="OYB92" s="24"/>
      <c r="OYC92" s="24"/>
      <c r="OYD92" s="24"/>
      <c r="OYE92" s="24"/>
      <c r="OYF92" s="24"/>
      <c r="OYG92" s="24"/>
      <c r="OYH92" s="24"/>
      <c r="OYI92" s="24"/>
      <c r="OYJ92" s="24"/>
      <c r="OYK92" s="24"/>
      <c r="OYL92" s="24"/>
      <c r="OYM92" s="24"/>
      <c r="OYN92" s="24"/>
      <c r="OYO92" s="24"/>
      <c r="OYP92" s="24"/>
      <c r="OYQ92" s="24"/>
      <c r="OYR92" s="24"/>
      <c r="OYS92" s="24"/>
      <c r="OYT92" s="24"/>
      <c r="OYU92" s="24"/>
      <c r="OYV92" s="24"/>
      <c r="OYW92" s="24"/>
      <c r="OYX92" s="24"/>
      <c r="OYY92" s="24"/>
      <c r="OYZ92" s="24"/>
      <c r="OZA92" s="24"/>
      <c r="OZB92" s="24"/>
      <c r="OZC92" s="24"/>
      <c r="OZD92" s="24"/>
      <c r="OZE92" s="24"/>
      <c r="OZF92" s="24"/>
      <c r="OZG92" s="24"/>
      <c r="OZH92" s="24"/>
      <c r="OZI92" s="24"/>
      <c r="OZJ92" s="24"/>
      <c r="OZK92" s="24"/>
      <c r="OZL92" s="24"/>
      <c r="OZM92" s="24"/>
      <c r="OZN92" s="24"/>
      <c r="OZO92" s="24"/>
      <c r="OZP92" s="24"/>
      <c r="OZQ92" s="24"/>
      <c r="OZR92" s="24"/>
      <c r="OZS92" s="24"/>
      <c r="OZT92" s="24"/>
      <c r="OZU92" s="24"/>
      <c r="OZV92" s="24"/>
      <c r="OZW92" s="24"/>
      <c r="OZX92" s="24"/>
      <c r="OZY92" s="24"/>
      <c r="OZZ92" s="24"/>
      <c r="PAA92" s="24"/>
      <c r="PAB92" s="24"/>
      <c r="PAC92" s="24"/>
      <c r="PAD92" s="24"/>
      <c r="PAE92" s="24"/>
      <c r="PAF92" s="24"/>
      <c r="PAG92" s="24"/>
      <c r="PAH92" s="24"/>
      <c r="PAI92" s="24"/>
      <c r="PAJ92" s="24"/>
      <c r="PAK92" s="24"/>
      <c r="PAL92" s="24"/>
      <c r="PAM92" s="24"/>
      <c r="PAN92" s="24"/>
      <c r="PAO92" s="24"/>
      <c r="PAP92" s="24"/>
      <c r="PAQ92" s="24"/>
      <c r="PAR92" s="24"/>
      <c r="PAS92" s="24"/>
      <c r="PAT92" s="24"/>
      <c r="PAU92" s="24"/>
      <c r="PAV92" s="24"/>
      <c r="PAW92" s="24"/>
      <c r="PAX92" s="24"/>
      <c r="PAY92" s="24"/>
      <c r="PAZ92" s="24"/>
      <c r="PBA92" s="24"/>
      <c r="PBB92" s="24"/>
      <c r="PBC92" s="24"/>
      <c r="PBD92" s="24"/>
      <c r="PBE92" s="24"/>
      <c r="PBF92" s="24"/>
      <c r="PBG92" s="24"/>
      <c r="PBH92" s="24"/>
      <c r="PBI92" s="24"/>
      <c r="PBJ92" s="24"/>
      <c r="PBK92" s="24"/>
      <c r="PBL92" s="24"/>
      <c r="PBM92" s="24"/>
      <c r="PBN92" s="24"/>
      <c r="PBO92" s="24"/>
      <c r="PBP92" s="24"/>
      <c r="PBQ92" s="24"/>
      <c r="PBR92" s="24"/>
      <c r="PBS92" s="24"/>
      <c r="PBT92" s="24"/>
      <c r="PBU92" s="24"/>
      <c r="PBV92" s="24"/>
      <c r="PBW92" s="24"/>
      <c r="PBX92" s="24"/>
      <c r="PBY92" s="24"/>
      <c r="PBZ92" s="24"/>
      <c r="PCA92" s="24"/>
      <c r="PCB92" s="24"/>
      <c r="PCC92" s="24"/>
      <c r="PCD92" s="24"/>
      <c r="PCE92" s="24"/>
      <c r="PCF92" s="24"/>
      <c r="PCG92" s="24"/>
      <c r="PCH92" s="24"/>
      <c r="PCI92" s="24"/>
      <c r="PCJ92" s="24"/>
      <c r="PCK92" s="24"/>
      <c r="PCL92" s="24"/>
      <c r="PCM92" s="24"/>
      <c r="PCN92" s="24"/>
      <c r="PCO92" s="24"/>
      <c r="PCP92" s="24"/>
      <c r="PCQ92" s="24"/>
      <c r="PCR92" s="24"/>
      <c r="PCS92" s="24"/>
      <c r="PCT92" s="24"/>
      <c r="PCU92" s="24"/>
      <c r="PCV92" s="24"/>
      <c r="PCW92" s="24"/>
      <c r="PCX92" s="24"/>
      <c r="PCY92" s="24"/>
      <c r="PCZ92" s="24"/>
      <c r="PDA92" s="24"/>
      <c r="PDB92" s="24"/>
      <c r="PDC92" s="24"/>
      <c r="PDD92" s="24"/>
      <c r="PDE92" s="24"/>
      <c r="PDF92" s="24"/>
      <c r="PDG92" s="24"/>
      <c r="PDH92" s="24"/>
      <c r="PDI92" s="24"/>
      <c r="PDJ92" s="24"/>
      <c r="PDK92" s="24"/>
      <c r="PDL92" s="24"/>
      <c r="PDM92" s="24"/>
      <c r="PDN92" s="24"/>
      <c r="PDO92" s="24"/>
      <c r="PDP92" s="24"/>
      <c r="PDQ92" s="24"/>
      <c r="PDR92" s="24"/>
      <c r="PDS92" s="24"/>
      <c r="PDT92" s="24"/>
      <c r="PDU92" s="24"/>
      <c r="PDV92" s="24"/>
      <c r="PDW92" s="24"/>
      <c r="PDX92" s="24"/>
      <c r="PDY92" s="24"/>
      <c r="PDZ92" s="24"/>
      <c r="PEA92" s="24"/>
      <c r="PEB92" s="24"/>
      <c r="PEC92" s="24"/>
      <c r="PED92" s="24"/>
      <c r="PEE92" s="24"/>
      <c r="PEF92" s="24"/>
      <c r="PEG92" s="24"/>
      <c r="PEH92" s="24"/>
      <c r="PEI92" s="24"/>
      <c r="PEJ92" s="24"/>
      <c r="PEK92" s="24"/>
      <c r="PEL92" s="24"/>
      <c r="PEM92" s="24"/>
      <c r="PEN92" s="24"/>
      <c r="PEO92" s="24"/>
      <c r="PEP92" s="24"/>
      <c r="PEQ92" s="24"/>
      <c r="PER92" s="24"/>
      <c r="PES92" s="24"/>
      <c r="PET92" s="24"/>
      <c r="PEU92" s="24"/>
      <c r="PEV92" s="24"/>
      <c r="PEW92" s="24"/>
      <c r="PEX92" s="24"/>
      <c r="PEY92" s="24"/>
      <c r="PEZ92" s="24"/>
      <c r="PFA92" s="24"/>
      <c r="PFB92" s="24"/>
      <c r="PFC92" s="24"/>
      <c r="PFD92" s="24"/>
      <c r="PFE92" s="24"/>
      <c r="PFF92" s="24"/>
      <c r="PFG92" s="24"/>
      <c r="PFH92" s="24"/>
      <c r="PFI92" s="24"/>
      <c r="PFJ92" s="24"/>
      <c r="PFK92" s="24"/>
      <c r="PFL92" s="24"/>
      <c r="PFM92" s="24"/>
      <c r="PFN92" s="24"/>
      <c r="PFO92" s="24"/>
      <c r="PFP92" s="24"/>
      <c r="PFQ92" s="24"/>
      <c r="PFR92" s="24"/>
      <c r="PFS92" s="24"/>
      <c r="PFT92" s="24"/>
      <c r="PFU92" s="24"/>
      <c r="PFV92" s="24"/>
      <c r="PFW92" s="24"/>
      <c r="PFX92" s="24"/>
      <c r="PFY92" s="24"/>
      <c r="PFZ92" s="24"/>
      <c r="PGA92" s="24"/>
      <c r="PGB92" s="24"/>
      <c r="PGC92" s="24"/>
      <c r="PGD92" s="24"/>
      <c r="PGE92" s="24"/>
      <c r="PGF92" s="24"/>
      <c r="PGG92" s="24"/>
      <c r="PGH92" s="24"/>
      <c r="PGI92" s="24"/>
      <c r="PGJ92" s="24"/>
      <c r="PGK92" s="24"/>
      <c r="PGL92" s="24"/>
      <c r="PGM92" s="24"/>
      <c r="PGN92" s="24"/>
      <c r="PGO92" s="24"/>
      <c r="PGP92" s="24"/>
      <c r="PGQ92" s="24"/>
      <c r="PGR92" s="24"/>
      <c r="PGS92" s="24"/>
      <c r="PGT92" s="24"/>
      <c r="PGU92" s="24"/>
      <c r="PGV92" s="24"/>
      <c r="PGW92" s="24"/>
      <c r="PGX92" s="24"/>
      <c r="PGY92" s="24"/>
      <c r="PGZ92" s="24"/>
      <c r="PHA92" s="24"/>
      <c r="PHB92" s="24"/>
      <c r="PHC92" s="24"/>
      <c r="PHD92" s="24"/>
      <c r="PHE92" s="24"/>
      <c r="PHF92" s="24"/>
      <c r="PHG92" s="24"/>
      <c r="PHH92" s="24"/>
      <c r="PHI92" s="24"/>
      <c r="PHJ92" s="24"/>
      <c r="PHK92" s="24"/>
      <c r="PHL92" s="24"/>
      <c r="PHM92" s="24"/>
      <c r="PHN92" s="24"/>
      <c r="PHO92" s="24"/>
      <c r="PHP92" s="24"/>
      <c r="PHQ92" s="24"/>
      <c r="PHR92" s="24"/>
      <c r="PHS92" s="24"/>
      <c r="PHT92" s="24"/>
      <c r="PHU92" s="24"/>
      <c r="PHV92" s="24"/>
      <c r="PHW92" s="24"/>
      <c r="PHX92" s="24"/>
      <c r="PHY92" s="24"/>
      <c r="PHZ92" s="24"/>
      <c r="PIA92" s="24"/>
      <c r="PIB92" s="24"/>
      <c r="PIC92" s="24"/>
      <c r="PID92" s="24"/>
      <c r="PIE92" s="24"/>
      <c r="PIF92" s="24"/>
      <c r="PIG92" s="24"/>
      <c r="PIH92" s="24"/>
      <c r="PII92" s="24"/>
      <c r="PIJ92" s="24"/>
      <c r="PIK92" s="24"/>
      <c r="PIL92" s="24"/>
      <c r="PIM92" s="24"/>
      <c r="PIN92" s="24"/>
      <c r="PIO92" s="24"/>
      <c r="PIP92" s="24"/>
      <c r="PIQ92" s="24"/>
      <c r="PIR92" s="24"/>
      <c r="PIS92" s="24"/>
      <c r="PIT92" s="24"/>
      <c r="PIU92" s="24"/>
      <c r="PIV92" s="24"/>
      <c r="PIW92" s="24"/>
      <c r="PIX92" s="24"/>
      <c r="PIY92" s="24"/>
      <c r="PIZ92" s="24"/>
      <c r="PJA92" s="24"/>
      <c r="PJB92" s="24"/>
      <c r="PJC92" s="24"/>
      <c r="PJD92" s="24"/>
      <c r="PJE92" s="24"/>
      <c r="PJF92" s="24"/>
      <c r="PJG92" s="24"/>
      <c r="PJH92" s="24"/>
      <c r="PJI92" s="24"/>
      <c r="PJJ92" s="24"/>
      <c r="PJK92" s="24"/>
      <c r="PJL92" s="24"/>
      <c r="PJM92" s="24"/>
      <c r="PJN92" s="24"/>
      <c r="PJO92" s="24"/>
      <c r="PJP92" s="24"/>
      <c r="PJQ92" s="24"/>
      <c r="PJR92" s="24"/>
      <c r="PJS92" s="24"/>
      <c r="PJT92" s="24"/>
      <c r="PJU92" s="24"/>
      <c r="PJV92" s="24"/>
      <c r="PJW92" s="24"/>
      <c r="PJX92" s="24"/>
      <c r="PJY92" s="24"/>
      <c r="PJZ92" s="24"/>
      <c r="PKA92" s="24"/>
      <c r="PKB92" s="24"/>
      <c r="PKC92" s="24"/>
      <c r="PKD92" s="24"/>
      <c r="PKE92" s="24"/>
      <c r="PKF92" s="24"/>
      <c r="PKG92" s="24"/>
      <c r="PKH92" s="24"/>
      <c r="PKI92" s="24"/>
      <c r="PKJ92" s="24"/>
      <c r="PKK92" s="24"/>
      <c r="PKL92" s="24"/>
      <c r="PKM92" s="24"/>
      <c r="PKN92" s="24"/>
      <c r="PKO92" s="24"/>
      <c r="PKP92" s="24"/>
      <c r="PKQ92" s="24"/>
      <c r="PKR92" s="24"/>
      <c r="PKS92" s="24"/>
      <c r="PKT92" s="24"/>
      <c r="PKU92" s="24"/>
      <c r="PKV92" s="24"/>
      <c r="PKW92" s="24"/>
      <c r="PKX92" s="24"/>
      <c r="PKY92" s="24"/>
      <c r="PKZ92" s="24"/>
      <c r="PLA92" s="24"/>
      <c r="PLB92" s="24"/>
      <c r="PLC92" s="24"/>
      <c r="PLD92" s="24"/>
      <c r="PLE92" s="24"/>
      <c r="PLF92" s="24"/>
      <c r="PLG92" s="24"/>
      <c r="PLH92" s="24"/>
      <c r="PLI92" s="24"/>
      <c r="PLJ92" s="24"/>
      <c r="PLK92" s="24"/>
      <c r="PLL92" s="24"/>
      <c r="PLM92" s="24"/>
      <c r="PLN92" s="24"/>
      <c r="PLO92" s="24"/>
      <c r="PLP92" s="24"/>
      <c r="PLQ92" s="24"/>
      <c r="PLR92" s="24"/>
      <c r="PLS92" s="24"/>
      <c r="PLT92" s="24"/>
      <c r="PLU92" s="24"/>
      <c r="PLV92" s="24"/>
      <c r="PLW92" s="24"/>
      <c r="PLX92" s="24"/>
      <c r="PLY92" s="24"/>
      <c r="PLZ92" s="24"/>
      <c r="PMA92" s="24"/>
      <c r="PMB92" s="24"/>
      <c r="PMC92" s="24"/>
      <c r="PMD92" s="24"/>
      <c r="PME92" s="24"/>
      <c r="PMF92" s="24"/>
      <c r="PMG92" s="24"/>
      <c r="PMH92" s="24"/>
      <c r="PMI92" s="24"/>
      <c r="PMJ92" s="24"/>
      <c r="PMK92" s="24"/>
      <c r="PML92" s="24"/>
      <c r="PMM92" s="24"/>
      <c r="PMN92" s="24"/>
      <c r="PMO92" s="24"/>
      <c r="PMP92" s="24"/>
      <c r="PMQ92" s="24"/>
      <c r="PMR92" s="24"/>
      <c r="PMS92" s="24"/>
      <c r="PMT92" s="24"/>
      <c r="PMU92" s="24"/>
      <c r="PMV92" s="24"/>
      <c r="PMW92" s="24"/>
      <c r="PMX92" s="24"/>
      <c r="PMY92" s="24"/>
      <c r="PMZ92" s="24"/>
      <c r="PNA92" s="24"/>
      <c r="PNB92" s="24"/>
      <c r="PNC92" s="24"/>
      <c r="PND92" s="24"/>
      <c r="PNE92" s="24"/>
      <c r="PNF92" s="24"/>
      <c r="PNG92" s="24"/>
      <c r="PNH92" s="24"/>
      <c r="PNI92" s="24"/>
      <c r="PNJ92" s="24"/>
      <c r="PNK92" s="24"/>
      <c r="PNL92" s="24"/>
      <c r="PNM92" s="24"/>
      <c r="PNN92" s="24"/>
      <c r="PNO92" s="24"/>
      <c r="PNP92" s="24"/>
      <c r="PNQ92" s="24"/>
      <c r="PNR92" s="24"/>
      <c r="PNS92" s="24"/>
      <c r="PNT92" s="24"/>
      <c r="PNU92" s="24"/>
      <c r="PNV92" s="24"/>
      <c r="PNW92" s="24"/>
      <c r="PNX92" s="24"/>
      <c r="PNY92" s="24"/>
      <c r="PNZ92" s="24"/>
      <c r="POA92" s="24"/>
      <c r="POB92" s="24"/>
      <c r="POC92" s="24"/>
      <c r="POD92" s="24"/>
      <c r="POE92" s="24"/>
      <c r="POF92" s="24"/>
      <c r="POG92" s="24"/>
      <c r="POH92" s="24"/>
      <c r="POI92" s="24"/>
      <c r="POJ92" s="24"/>
      <c r="POK92" s="24"/>
      <c r="POL92" s="24"/>
      <c r="POM92" s="24"/>
      <c r="PON92" s="24"/>
      <c r="POO92" s="24"/>
      <c r="POP92" s="24"/>
      <c r="POQ92" s="24"/>
      <c r="POR92" s="24"/>
      <c r="POS92" s="24"/>
      <c r="POT92" s="24"/>
      <c r="POU92" s="24"/>
      <c r="POV92" s="24"/>
      <c r="POW92" s="24"/>
      <c r="POX92" s="24"/>
      <c r="POY92" s="24"/>
      <c r="POZ92" s="24"/>
      <c r="PPA92" s="24"/>
      <c r="PPB92" s="24"/>
      <c r="PPC92" s="24"/>
      <c r="PPD92" s="24"/>
      <c r="PPE92" s="24"/>
      <c r="PPF92" s="24"/>
      <c r="PPG92" s="24"/>
      <c r="PPH92" s="24"/>
      <c r="PPI92" s="24"/>
      <c r="PPJ92" s="24"/>
      <c r="PPK92" s="24"/>
      <c r="PPL92" s="24"/>
      <c r="PPM92" s="24"/>
      <c r="PPN92" s="24"/>
      <c r="PPO92" s="24"/>
      <c r="PPP92" s="24"/>
      <c r="PPQ92" s="24"/>
      <c r="PPR92" s="24"/>
      <c r="PPS92" s="24"/>
      <c r="PPT92" s="24"/>
      <c r="PPU92" s="24"/>
      <c r="PPV92" s="24"/>
      <c r="PPW92" s="24"/>
      <c r="PPX92" s="24"/>
      <c r="PPY92" s="24"/>
      <c r="PPZ92" s="24"/>
      <c r="PQA92" s="24"/>
      <c r="PQB92" s="24"/>
      <c r="PQC92" s="24"/>
      <c r="PQD92" s="24"/>
      <c r="PQE92" s="24"/>
      <c r="PQF92" s="24"/>
      <c r="PQG92" s="24"/>
      <c r="PQH92" s="24"/>
      <c r="PQI92" s="24"/>
      <c r="PQJ92" s="24"/>
      <c r="PQK92" s="24"/>
      <c r="PQL92" s="24"/>
      <c r="PQM92" s="24"/>
      <c r="PQN92" s="24"/>
      <c r="PQO92" s="24"/>
      <c r="PQP92" s="24"/>
      <c r="PQQ92" s="24"/>
      <c r="PQR92" s="24"/>
      <c r="PQS92" s="24"/>
      <c r="PQT92" s="24"/>
      <c r="PQU92" s="24"/>
      <c r="PQV92" s="24"/>
      <c r="PQW92" s="24"/>
      <c r="PQX92" s="24"/>
      <c r="PQY92" s="24"/>
      <c r="PQZ92" s="24"/>
      <c r="PRA92" s="24"/>
      <c r="PRB92" s="24"/>
      <c r="PRC92" s="24"/>
      <c r="PRD92" s="24"/>
      <c r="PRE92" s="24"/>
      <c r="PRF92" s="24"/>
      <c r="PRG92" s="24"/>
      <c r="PRH92" s="24"/>
      <c r="PRI92" s="24"/>
      <c r="PRJ92" s="24"/>
      <c r="PRK92" s="24"/>
      <c r="PRL92" s="24"/>
      <c r="PRM92" s="24"/>
      <c r="PRN92" s="24"/>
      <c r="PRO92" s="24"/>
      <c r="PRP92" s="24"/>
      <c r="PRQ92" s="24"/>
      <c r="PRR92" s="24"/>
      <c r="PRS92" s="24"/>
      <c r="PRT92" s="24"/>
      <c r="PRU92" s="24"/>
      <c r="PRV92" s="24"/>
      <c r="PRW92" s="24"/>
      <c r="PRX92" s="24"/>
      <c r="PRY92" s="24"/>
      <c r="PRZ92" s="24"/>
      <c r="PSA92" s="24"/>
      <c r="PSB92" s="24"/>
      <c r="PSC92" s="24"/>
      <c r="PSD92" s="24"/>
      <c r="PSE92" s="24"/>
      <c r="PSF92" s="24"/>
      <c r="PSG92" s="24"/>
      <c r="PSH92" s="24"/>
      <c r="PSI92" s="24"/>
      <c r="PSJ92" s="24"/>
      <c r="PSK92" s="24"/>
      <c r="PSL92" s="24"/>
      <c r="PSM92" s="24"/>
      <c r="PSN92" s="24"/>
      <c r="PSO92" s="24"/>
      <c r="PSP92" s="24"/>
      <c r="PSQ92" s="24"/>
      <c r="PSR92" s="24"/>
      <c r="PSS92" s="24"/>
      <c r="PST92" s="24"/>
      <c r="PSU92" s="24"/>
      <c r="PSV92" s="24"/>
      <c r="PSW92" s="24"/>
      <c r="PSX92" s="24"/>
      <c r="PSY92" s="24"/>
      <c r="PSZ92" s="24"/>
      <c r="PTA92" s="24"/>
      <c r="PTB92" s="24"/>
      <c r="PTC92" s="24"/>
      <c r="PTD92" s="24"/>
      <c r="PTE92" s="24"/>
      <c r="PTF92" s="24"/>
      <c r="PTG92" s="24"/>
      <c r="PTH92" s="24"/>
      <c r="PTI92" s="24"/>
      <c r="PTJ92" s="24"/>
      <c r="PTK92" s="24"/>
      <c r="PTL92" s="24"/>
      <c r="PTM92" s="24"/>
      <c r="PTN92" s="24"/>
      <c r="PTO92" s="24"/>
      <c r="PTP92" s="24"/>
      <c r="PTQ92" s="24"/>
      <c r="PTR92" s="24"/>
      <c r="PTS92" s="24"/>
      <c r="PTT92" s="24"/>
      <c r="PTU92" s="24"/>
      <c r="PTV92" s="24"/>
      <c r="PTW92" s="24"/>
      <c r="PTX92" s="24"/>
      <c r="PTY92" s="24"/>
      <c r="PTZ92" s="24"/>
      <c r="PUA92" s="24"/>
      <c r="PUB92" s="24"/>
      <c r="PUC92" s="24"/>
      <c r="PUD92" s="24"/>
      <c r="PUE92" s="24"/>
      <c r="PUF92" s="24"/>
      <c r="PUG92" s="24"/>
      <c r="PUH92" s="24"/>
      <c r="PUI92" s="24"/>
      <c r="PUJ92" s="24"/>
      <c r="PUK92" s="24"/>
      <c r="PUL92" s="24"/>
      <c r="PUM92" s="24"/>
      <c r="PUN92" s="24"/>
      <c r="PUO92" s="24"/>
      <c r="PUP92" s="24"/>
      <c r="PUQ92" s="24"/>
      <c r="PUR92" s="24"/>
      <c r="PUS92" s="24"/>
      <c r="PUT92" s="24"/>
      <c r="PUU92" s="24"/>
      <c r="PUV92" s="24"/>
      <c r="PUW92" s="24"/>
      <c r="PUX92" s="24"/>
      <c r="PUY92" s="24"/>
      <c r="PUZ92" s="24"/>
      <c r="PVA92" s="24"/>
      <c r="PVB92" s="24"/>
      <c r="PVC92" s="24"/>
      <c r="PVD92" s="24"/>
      <c r="PVE92" s="24"/>
      <c r="PVF92" s="24"/>
      <c r="PVG92" s="24"/>
      <c r="PVH92" s="24"/>
      <c r="PVI92" s="24"/>
      <c r="PVJ92" s="24"/>
      <c r="PVK92" s="24"/>
      <c r="PVL92" s="24"/>
      <c r="PVM92" s="24"/>
      <c r="PVN92" s="24"/>
      <c r="PVO92" s="24"/>
      <c r="PVP92" s="24"/>
      <c r="PVQ92" s="24"/>
      <c r="PVR92" s="24"/>
      <c r="PVS92" s="24"/>
      <c r="PVT92" s="24"/>
      <c r="PVU92" s="24"/>
      <c r="PVV92" s="24"/>
      <c r="PVW92" s="24"/>
      <c r="PVX92" s="24"/>
      <c r="PVY92" s="24"/>
      <c r="PVZ92" s="24"/>
      <c r="PWA92" s="24"/>
      <c r="PWB92" s="24"/>
      <c r="PWC92" s="24"/>
      <c r="PWD92" s="24"/>
      <c r="PWE92" s="24"/>
      <c r="PWF92" s="24"/>
      <c r="PWG92" s="24"/>
      <c r="PWH92" s="24"/>
      <c r="PWI92" s="24"/>
      <c r="PWJ92" s="24"/>
      <c r="PWK92" s="24"/>
      <c r="PWL92" s="24"/>
      <c r="PWM92" s="24"/>
      <c r="PWN92" s="24"/>
      <c r="PWO92" s="24"/>
      <c r="PWP92" s="24"/>
      <c r="PWQ92" s="24"/>
      <c r="PWR92" s="24"/>
      <c r="PWS92" s="24"/>
      <c r="PWT92" s="24"/>
      <c r="PWU92" s="24"/>
      <c r="PWV92" s="24"/>
      <c r="PWW92" s="24"/>
      <c r="PWX92" s="24"/>
      <c r="PWY92" s="24"/>
      <c r="PWZ92" s="24"/>
      <c r="PXA92" s="24"/>
      <c r="PXB92" s="24"/>
      <c r="PXC92" s="24"/>
      <c r="PXD92" s="24"/>
      <c r="PXE92" s="24"/>
      <c r="PXF92" s="24"/>
      <c r="PXG92" s="24"/>
      <c r="PXH92" s="24"/>
      <c r="PXI92" s="24"/>
      <c r="PXJ92" s="24"/>
      <c r="PXK92" s="24"/>
      <c r="PXL92" s="24"/>
      <c r="PXM92" s="24"/>
      <c r="PXN92" s="24"/>
      <c r="PXO92" s="24"/>
      <c r="PXP92" s="24"/>
      <c r="PXQ92" s="24"/>
      <c r="PXR92" s="24"/>
      <c r="PXS92" s="24"/>
      <c r="PXT92" s="24"/>
      <c r="PXU92" s="24"/>
      <c r="PXV92" s="24"/>
      <c r="PXW92" s="24"/>
      <c r="PXX92" s="24"/>
      <c r="PXY92" s="24"/>
      <c r="PXZ92" s="24"/>
      <c r="PYA92" s="24"/>
      <c r="PYB92" s="24"/>
      <c r="PYC92" s="24"/>
      <c r="PYD92" s="24"/>
      <c r="PYE92" s="24"/>
      <c r="PYF92" s="24"/>
      <c r="PYG92" s="24"/>
      <c r="PYH92" s="24"/>
      <c r="PYI92" s="24"/>
      <c r="PYJ92" s="24"/>
      <c r="PYK92" s="24"/>
      <c r="PYL92" s="24"/>
      <c r="PYM92" s="24"/>
      <c r="PYN92" s="24"/>
      <c r="PYO92" s="24"/>
      <c r="PYP92" s="24"/>
      <c r="PYQ92" s="24"/>
      <c r="PYR92" s="24"/>
      <c r="PYS92" s="24"/>
      <c r="PYT92" s="24"/>
      <c r="PYU92" s="24"/>
      <c r="PYV92" s="24"/>
      <c r="PYW92" s="24"/>
      <c r="PYX92" s="24"/>
      <c r="PYY92" s="24"/>
      <c r="PYZ92" s="24"/>
      <c r="PZA92" s="24"/>
      <c r="PZB92" s="24"/>
      <c r="PZC92" s="24"/>
      <c r="PZD92" s="24"/>
      <c r="PZE92" s="24"/>
      <c r="PZF92" s="24"/>
      <c r="PZG92" s="24"/>
      <c r="PZH92" s="24"/>
      <c r="PZI92" s="24"/>
      <c r="PZJ92" s="24"/>
      <c r="PZK92" s="24"/>
      <c r="PZL92" s="24"/>
      <c r="PZM92" s="24"/>
      <c r="PZN92" s="24"/>
      <c r="PZO92" s="24"/>
      <c r="PZP92" s="24"/>
      <c r="PZQ92" s="24"/>
      <c r="PZR92" s="24"/>
      <c r="PZS92" s="24"/>
      <c r="PZT92" s="24"/>
      <c r="PZU92" s="24"/>
      <c r="PZV92" s="24"/>
      <c r="PZW92" s="24"/>
      <c r="PZX92" s="24"/>
      <c r="PZY92" s="24"/>
      <c r="PZZ92" s="24"/>
      <c r="QAA92" s="24"/>
      <c r="QAB92" s="24"/>
      <c r="QAC92" s="24"/>
      <c r="QAD92" s="24"/>
      <c r="QAE92" s="24"/>
      <c r="QAF92" s="24"/>
      <c r="QAG92" s="24"/>
      <c r="QAH92" s="24"/>
      <c r="QAI92" s="24"/>
      <c r="QAJ92" s="24"/>
      <c r="QAK92" s="24"/>
      <c r="QAL92" s="24"/>
      <c r="QAM92" s="24"/>
      <c r="QAN92" s="24"/>
      <c r="QAO92" s="24"/>
      <c r="QAP92" s="24"/>
      <c r="QAQ92" s="24"/>
      <c r="QAR92" s="24"/>
      <c r="QAS92" s="24"/>
      <c r="QAT92" s="24"/>
      <c r="QAU92" s="24"/>
      <c r="QAV92" s="24"/>
      <c r="QAW92" s="24"/>
      <c r="QAX92" s="24"/>
      <c r="QAY92" s="24"/>
      <c r="QAZ92" s="24"/>
      <c r="QBA92" s="24"/>
      <c r="QBB92" s="24"/>
      <c r="QBC92" s="24"/>
      <c r="QBD92" s="24"/>
      <c r="QBE92" s="24"/>
      <c r="QBF92" s="24"/>
      <c r="QBG92" s="24"/>
      <c r="QBH92" s="24"/>
      <c r="QBI92" s="24"/>
      <c r="QBJ92" s="24"/>
      <c r="QBK92" s="24"/>
      <c r="QBL92" s="24"/>
      <c r="QBM92" s="24"/>
      <c r="QBN92" s="24"/>
      <c r="QBO92" s="24"/>
      <c r="QBP92" s="24"/>
      <c r="QBQ92" s="24"/>
      <c r="QBR92" s="24"/>
      <c r="QBS92" s="24"/>
      <c r="QBT92" s="24"/>
      <c r="QBU92" s="24"/>
      <c r="QBV92" s="24"/>
      <c r="QBW92" s="24"/>
      <c r="QBX92" s="24"/>
      <c r="QBY92" s="24"/>
      <c r="QBZ92" s="24"/>
      <c r="QCA92" s="24"/>
      <c r="QCB92" s="24"/>
      <c r="QCC92" s="24"/>
      <c r="QCD92" s="24"/>
      <c r="QCE92" s="24"/>
      <c r="QCF92" s="24"/>
      <c r="QCG92" s="24"/>
      <c r="QCH92" s="24"/>
      <c r="QCI92" s="24"/>
      <c r="QCJ92" s="24"/>
      <c r="QCK92" s="24"/>
      <c r="QCL92" s="24"/>
      <c r="QCM92" s="24"/>
      <c r="QCN92" s="24"/>
      <c r="QCO92" s="24"/>
      <c r="QCP92" s="24"/>
      <c r="QCQ92" s="24"/>
      <c r="QCR92" s="24"/>
      <c r="QCS92" s="24"/>
      <c r="QCT92" s="24"/>
      <c r="QCU92" s="24"/>
      <c r="QCV92" s="24"/>
      <c r="QCW92" s="24"/>
      <c r="QCX92" s="24"/>
      <c r="QCY92" s="24"/>
      <c r="QCZ92" s="24"/>
      <c r="QDA92" s="24"/>
      <c r="QDB92" s="24"/>
      <c r="QDC92" s="24"/>
      <c r="QDD92" s="24"/>
      <c r="QDE92" s="24"/>
      <c r="QDF92" s="24"/>
      <c r="QDG92" s="24"/>
      <c r="QDH92" s="24"/>
      <c r="QDI92" s="24"/>
      <c r="QDJ92" s="24"/>
      <c r="QDK92" s="24"/>
      <c r="QDL92" s="24"/>
      <c r="QDM92" s="24"/>
      <c r="QDN92" s="24"/>
      <c r="QDO92" s="24"/>
      <c r="QDP92" s="24"/>
      <c r="QDQ92" s="24"/>
      <c r="QDR92" s="24"/>
      <c r="QDS92" s="24"/>
      <c r="QDT92" s="24"/>
      <c r="QDU92" s="24"/>
      <c r="QDV92" s="24"/>
      <c r="QDW92" s="24"/>
      <c r="QDX92" s="24"/>
      <c r="QDY92" s="24"/>
      <c r="QDZ92" s="24"/>
      <c r="QEA92" s="24"/>
      <c r="QEB92" s="24"/>
      <c r="QEC92" s="24"/>
      <c r="QED92" s="24"/>
      <c r="QEE92" s="24"/>
      <c r="QEF92" s="24"/>
      <c r="QEG92" s="24"/>
      <c r="QEH92" s="24"/>
      <c r="QEI92" s="24"/>
      <c r="QEJ92" s="24"/>
      <c r="QEK92" s="24"/>
      <c r="QEL92" s="24"/>
      <c r="QEM92" s="24"/>
      <c r="QEN92" s="24"/>
      <c r="QEO92" s="24"/>
      <c r="QEP92" s="24"/>
      <c r="QEQ92" s="24"/>
      <c r="QER92" s="24"/>
      <c r="QES92" s="24"/>
      <c r="QET92" s="24"/>
      <c r="QEU92" s="24"/>
      <c r="QEV92" s="24"/>
      <c r="QEW92" s="24"/>
      <c r="QEX92" s="24"/>
      <c r="QEY92" s="24"/>
      <c r="QEZ92" s="24"/>
      <c r="QFA92" s="24"/>
      <c r="QFB92" s="24"/>
      <c r="QFC92" s="24"/>
      <c r="QFD92" s="24"/>
      <c r="QFE92" s="24"/>
      <c r="QFF92" s="24"/>
      <c r="QFG92" s="24"/>
      <c r="QFH92" s="24"/>
      <c r="QFI92" s="24"/>
      <c r="QFJ92" s="24"/>
      <c r="QFK92" s="24"/>
      <c r="QFL92" s="24"/>
      <c r="QFM92" s="24"/>
      <c r="QFN92" s="24"/>
      <c r="QFO92" s="24"/>
      <c r="QFP92" s="24"/>
      <c r="QFQ92" s="24"/>
      <c r="QFR92" s="24"/>
      <c r="QFS92" s="24"/>
      <c r="QFT92" s="24"/>
      <c r="QFU92" s="24"/>
      <c r="QFV92" s="24"/>
      <c r="QFW92" s="24"/>
      <c r="QFX92" s="24"/>
      <c r="QFY92" s="24"/>
      <c r="QFZ92" s="24"/>
      <c r="QGA92" s="24"/>
      <c r="QGB92" s="24"/>
      <c r="QGC92" s="24"/>
      <c r="QGD92" s="24"/>
      <c r="QGE92" s="24"/>
      <c r="QGF92" s="24"/>
      <c r="QGG92" s="24"/>
      <c r="QGH92" s="24"/>
      <c r="QGI92" s="24"/>
      <c r="QGJ92" s="24"/>
      <c r="QGK92" s="24"/>
      <c r="QGL92" s="24"/>
      <c r="QGM92" s="24"/>
      <c r="QGN92" s="24"/>
      <c r="QGO92" s="24"/>
      <c r="QGP92" s="24"/>
      <c r="QGQ92" s="24"/>
      <c r="QGR92" s="24"/>
      <c r="QGS92" s="24"/>
      <c r="QGT92" s="24"/>
      <c r="QGU92" s="24"/>
      <c r="QGV92" s="24"/>
      <c r="QGW92" s="24"/>
      <c r="QGX92" s="24"/>
      <c r="QGY92" s="24"/>
      <c r="QGZ92" s="24"/>
      <c r="QHA92" s="24"/>
      <c r="QHB92" s="24"/>
      <c r="QHC92" s="24"/>
      <c r="QHD92" s="24"/>
      <c r="QHE92" s="24"/>
      <c r="QHF92" s="24"/>
      <c r="QHG92" s="24"/>
      <c r="QHH92" s="24"/>
      <c r="QHI92" s="24"/>
      <c r="QHJ92" s="24"/>
      <c r="QHK92" s="24"/>
      <c r="QHL92" s="24"/>
      <c r="QHM92" s="24"/>
      <c r="QHN92" s="24"/>
      <c r="QHO92" s="24"/>
      <c r="QHP92" s="24"/>
      <c r="QHQ92" s="24"/>
      <c r="QHR92" s="24"/>
      <c r="QHS92" s="24"/>
      <c r="QHT92" s="24"/>
      <c r="QHU92" s="24"/>
      <c r="QHV92" s="24"/>
      <c r="QHW92" s="24"/>
      <c r="QHX92" s="24"/>
      <c r="QHY92" s="24"/>
      <c r="QHZ92" s="24"/>
      <c r="QIA92" s="24"/>
      <c r="QIB92" s="24"/>
      <c r="QIC92" s="24"/>
      <c r="QID92" s="24"/>
      <c r="QIE92" s="24"/>
      <c r="QIF92" s="24"/>
      <c r="QIG92" s="24"/>
      <c r="QIH92" s="24"/>
      <c r="QII92" s="24"/>
      <c r="QIJ92" s="24"/>
      <c r="QIK92" s="24"/>
      <c r="QIL92" s="24"/>
      <c r="QIM92" s="24"/>
      <c r="QIN92" s="24"/>
      <c r="QIO92" s="24"/>
      <c r="QIP92" s="24"/>
      <c r="QIQ92" s="24"/>
      <c r="QIR92" s="24"/>
      <c r="QIS92" s="24"/>
      <c r="QIT92" s="24"/>
      <c r="QIU92" s="24"/>
      <c r="QIV92" s="24"/>
      <c r="QIW92" s="24"/>
      <c r="QIX92" s="24"/>
      <c r="QIY92" s="24"/>
      <c r="QIZ92" s="24"/>
      <c r="QJA92" s="24"/>
      <c r="QJB92" s="24"/>
      <c r="QJC92" s="24"/>
      <c r="QJD92" s="24"/>
      <c r="QJE92" s="24"/>
      <c r="QJF92" s="24"/>
      <c r="QJG92" s="24"/>
      <c r="QJH92" s="24"/>
      <c r="QJI92" s="24"/>
      <c r="QJJ92" s="24"/>
      <c r="QJK92" s="24"/>
      <c r="QJL92" s="24"/>
      <c r="QJM92" s="24"/>
      <c r="QJN92" s="24"/>
      <c r="QJO92" s="24"/>
      <c r="QJP92" s="24"/>
      <c r="QJQ92" s="24"/>
      <c r="QJR92" s="24"/>
      <c r="QJS92" s="24"/>
      <c r="QJT92" s="24"/>
      <c r="QJU92" s="24"/>
      <c r="QJV92" s="24"/>
      <c r="QJW92" s="24"/>
      <c r="QJX92" s="24"/>
      <c r="QJY92" s="24"/>
      <c r="QJZ92" s="24"/>
      <c r="QKA92" s="24"/>
      <c r="QKB92" s="24"/>
      <c r="QKC92" s="24"/>
      <c r="QKD92" s="24"/>
      <c r="QKE92" s="24"/>
      <c r="QKF92" s="24"/>
      <c r="QKG92" s="24"/>
      <c r="QKH92" s="24"/>
      <c r="QKI92" s="24"/>
      <c r="QKJ92" s="24"/>
      <c r="QKK92" s="24"/>
      <c r="QKL92" s="24"/>
      <c r="QKM92" s="24"/>
      <c r="QKN92" s="24"/>
      <c r="QKO92" s="24"/>
      <c r="QKP92" s="24"/>
      <c r="QKQ92" s="24"/>
      <c r="QKR92" s="24"/>
      <c r="QKS92" s="24"/>
      <c r="QKT92" s="24"/>
      <c r="QKU92" s="24"/>
      <c r="QKV92" s="24"/>
      <c r="QKW92" s="24"/>
      <c r="QKX92" s="24"/>
      <c r="QKY92" s="24"/>
      <c r="QKZ92" s="24"/>
      <c r="QLA92" s="24"/>
      <c r="QLB92" s="24"/>
      <c r="QLC92" s="24"/>
      <c r="QLD92" s="24"/>
      <c r="QLE92" s="24"/>
      <c r="QLF92" s="24"/>
      <c r="QLG92" s="24"/>
      <c r="QLH92" s="24"/>
      <c r="QLI92" s="24"/>
      <c r="QLJ92" s="24"/>
      <c r="QLK92" s="24"/>
      <c r="QLL92" s="24"/>
      <c r="QLM92" s="24"/>
      <c r="QLN92" s="24"/>
      <c r="QLO92" s="24"/>
      <c r="QLP92" s="24"/>
      <c r="QLQ92" s="24"/>
      <c r="QLR92" s="24"/>
      <c r="QLS92" s="24"/>
      <c r="QLT92" s="24"/>
      <c r="QLU92" s="24"/>
      <c r="QLV92" s="24"/>
      <c r="QLW92" s="24"/>
      <c r="QLX92" s="24"/>
      <c r="QLY92" s="24"/>
      <c r="QLZ92" s="24"/>
      <c r="QMA92" s="24"/>
      <c r="QMB92" s="24"/>
      <c r="QMC92" s="24"/>
      <c r="QMD92" s="24"/>
      <c r="QME92" s="24"/>
      <c r="QMF92" s="24"/>
      <c r="QMG92" s="24"/>
      <c r="QMH92" s="24"/>
      <c r="QMI92" s="24"/>
      <c r="QMJ92" s="24"/>
      <c r="QMK92" s="24"/>
      <c r="QML92" s="24"/>
      <c r="QMM92" s="24"/>
      <c r="QMN92" s="24"/>
      <c r="QMO92" s="24"/>
      <c r="QMP92" s="24"/>
      <c r="QMQ92" s="24"/>
      <c r="QMR92" s="24"/>
      <c r="QMS92" s="24"/>
      <c r="QMT92" s="24"/>
      <c r="QMU92" s="24"/>
      <c r="QMV92" s="24"/>
      <c r="QMW92" s="24"/>
      <c r="QMX92" s="24"/>
      <c r="QMY92" s="24"/>
      <c r="QMZ92" s="24"/>
      <c r="QNA92" s="24"/>
      <c r="QNB92" s="24"/>
      <c r="QNC92" s="24"/>
      <c r="QND92" s="24"/>
      <c r="QNE92" s="24"/>
      <c r="QNF92" s="24"/>
      <c r="QNG92" s="24"/>
      <c r="QNH92" s="24"/>
      <c r="QNI92" s="24"/>
      <c r="QNJ92" s="24"/>
      <c r="QNK92" s="24"/>
      <c r="QNL92" s="24"/>
      <c r="QNM92" s="24"/>
      <c r="QNN92" s="24"/>
      <c r="QNO92" s="24"/>
      <c r="QNP92" s="24"/>
      <c r="QNQ92" s="24"/>
      <c r="QNR92" s="24"/>
      <c r="QNS92" s="24"/>
      <c r="QNT92" s="24"/>
      <c r="QNU92" s="24"/>
      <c r="QNV92" s="24"/>
      <c r="QNW92" s="24"/>
      <c r="QNX92" s="24"/>
      <c r="QNY92" s="24"/>
      <c r="QNZ92" s="24"/>
      <c r="QOA92" s="24"/>
      <c r="QOB92" s="24"/>
      <c r="QOC92" s="24"/>
      <c r="QOD92" s="24"/>
      <c r="QOE92" s="24"/>
      <c r="QOF92" s="24"/>
      <c r="QOG92" s="24"/>
      <c r="QOH92" s="24"/>
      <c r="QOI92" s="24"/>
      <c r="QOJ92" s="24"/>
      <c r="QOK92" s="24"/>
      <c r="QOL92" s="24"/>
      <c r="QOM92" s="24"/>
      <c r="QON92" s="24"/>
      <c r="QOO92" s="24"/>
      <c r="QOP92" s="24"/>
      <c r="QOQ92" s="24"/>
      <c r="QOR92" s="24"/>
      <c r="QOS92" s="24"/>
      <c r="QOT92" s="24"/>
      <c r="QOU92" s="24"/>
      <c r="QOV92" s="24"/>
      <c r="QOW92" s="24"/>
      <c r="QOX92" s="24"/>
      <c r="QOY92" s="24"/>
      <c r="QOZ92" s="24"/>
      <c r="QPA92" s="24"/>
      <c r="QPB92" s="24"/>
      <c r="QPC92" s="24"/>
      <c r="QPD92" s="24"/>
      <c r="QPE92" s="24"/>
      <c r="QPF92" s="24"/>
      <c r="QPG92" s="24"/>
      <c r="QPH92" s="24"/>
      <c r="QPI92" s="24"/>
      <c r="QPJ92" s="24"/>
      <c r="QPK92" s="24"/>
      <c r="QPL92" s="24"/>
      <c r="QPM92" s="24"/>
      <c r="QPN92" s="24"/>
      <c r="QPO92" s="24"/>
      <c r="QPP92" s="24"/>
      <c r="QPQ92" s="24"/>
      <c r="QPR92" s="24"/>
      <c r="QPS92" s="24"/>
      <c r="QPT92" s="24"/>
      <c r="QPU92" s="24"/>
      <c r="QPV92" s="24"/>
      <c r="QPW92" s="24"/>
      <c r="QPX92" s="24"/>
      <c r="QPY92" s="24"/>
      <c r="QPZ92" s="24"/>
      <c r="QQA92" s="24"/>
      <c r="QQB92" s="24"/>
      <c r="QQC92" s="24"/>
      <c r="QQD92" s="24"/>
      <c r="QQE92" s="24"/>
      <c r="QQF92" s="24"/>
      <c r="QQG92" s="24"/>
      <c r="QQH92" s="24"/>
      <c r="QQI92" s="24"/>
      <c r="QQJ92" s="24"/>
      <c r="QQK92" s="24"/>
      <c r="QQL92" s="24"/>
      <c r="QQM92" s="24"/>
      <c r="QQN92" s="24"/>
      <c r="QQO92" s="24"/>
      <c r="QQP92" s="24"/>
      <c r="QQQ92" s="24"/>
      <c r="QQR92" s="24"/>
      <c r="QQS92" s="24"/>
      <c r="QQT92" s="24"/>
      <c r="QQU92" s="24"/>
      <c r="QQV92" s="24"/>
      <c r="QQW92" s="24"/>
      <c r="QQX92" s="24"/>
      <c r="QQY92" s="24"/>
      <c r="QQZ92" s="24"/>
      <c r="QRA92" s="24"/>
      <c r="QRB92" s="24"/>
      <c r="QRC92" s="24"/>
      <c r="QRD92" s="24"/>
      <c r="QRE92" s="24"/>
      <c r="QRF92" s="24"/>
      <c r="QRG92" s="24"/>
      <c r="QRH92" s="24"/>
      <c r="QRI92" s="24"/>
      <c r="QRJ92" s="24"/>
      <c r="QRK92" s="24"/>
      <c r="QRL92" s="24"/>
      <c r="QRM92" s="24"/>
      <c r="QRN92" s="24"/>
      <c r="QRO92" s="24"/>
      <c r="QRP92" s="24"/>
      <c r="QRQ92" s="24"/>
      <c r="QRR92" s="24"/>
      <c r="QRS92" s="24"/>
      <c r="QRT92" s="24"/>
      <c r="QRU92" s="24"/>
      <c r="QRV92" s="24"/>
      <c r="QRW92" s="24"/>
      <c r="QRX92" s="24"/>
      <c r="QRY92" s="24"/>
      <c r="QRZ92" s="24"/>
      <c r="QSA92" s="24"/>
      <c r="QSB92" s="24"/>
      <c r="QSC92" s="24"/>
      <c r="QSD92" s="24"/>
      <c r="QSE92" s="24"/>
      <c r="QSF92" s="24"/>
      <c r="QSG92" s="24"/>
      <c r="QSH92" s="24"/>
      <c r="QSI92" s="24"/>
      <c r="QSJ92" s="24"/>
      <c r="QSK92" s="24"/>
      <c r="QSL92" s="24"/>
      <c r="QSM92" s="24"/>
      <c r="QSN92" s="24"/>
      <c r="QSO92" s="24"/>
      <c r="QSP92" s="24"/>
      <c r="QSQ92" s="24"/>
      <c r="QSR92" s="24"/>
      <c r="QSS92" s="24"/>
      <c r="QST92" s="24"/>
      <c r="QSU92" s="24"/>
      <c r="QSV92" s="24"/>
      <c r="QSW92" s="24"/>
      <c r="QSX92" s="24"/>
      <c r="QSY92" s="24"/>
      <c r="QSZ92" s="24"/>
      <c r="QTA92" s="24"/>
      <c r="QTB92" s="24"/>
      <c r="QTC92" s="24"/>
      <c r="QTD92" s="24"/>
      <c r="QTE92" s="24"/>
      <c r="QTF92" s="24"/>
      <c r="QTG92" s="24"/>
      <c r="QTH92" s="24"/>
      <c r="QTI92" s="24"/>
      <c r="QTJ92" s="24"/>
      <c r="QTK92" s="24"/>
      <c r="QTL92" s="24"/>
      <c r="QTM92" s="24"/>
      <c r="QTN92" s="24"/>
      <c r="QTO92" s="24"/>
      <c r="QTP92" s="24"/>
      <c r="QTQ92" s="24"/>
      <c r="QTR92" s="24"/>
      <c r="QTS92" s="24"/>
      <c r="QTT92" s="24"/>
      <c r="QTU92" s="24"/>
      <c r="QTV92" s="24"/>
      <c r="QTW92" s="24"/>
      <c r="QTX92" s="24"/>
      <c r="QTY92" s="24"/>
      <c r="QTZ92" s="24"/>
      <c r="QUA92" s="24"/>
      <c r="QUB92" s="24"/>
      <c r="QUC92" s="24"/>
      <c r="QUD92" s="24"/>
      <c r="QUE92" s="24"/>
      <c r="QUF92" s="24"/>
      <c r="QUG92" s="24"/>
      <c r="QUH92" s="24"/>
      <c r="QUI92" s="24"/>
      <c r="QUJ92" s="24"/>
      <c r="QUK92" s="24"/>
      <c r="QUL92" s="24"/>
      <c r="QUM92" s="24"/>
      <c r="QUN92" s="24"/>
      <c r="QUO92" s="24"/>
      <c r="QUP92" s="24"/>
      <c r="QUQ92" s="24"/>
      <c r="QUR92" s="24"/>
      <c r="QUS92" s="24"/>
      <c r="QUT92" s="24"/>
      <c r="QUU92" s="24"/>
      <c r="QUV92" s="24"/>
      <c r="QUW92" s="24"/>
      <c r="QUX92" s="24"/>
      <c r="QUY92" s="24"/>
      <c r="QUZ92" s="24"/>
      <c r="QVA92" s="24"/>
      <c r="QVB92" s="24"/>
      <c r="QVC92" s="24"/>
      <c r="QVD92" s="24"/>
      <c r="QVE92" s="24"/>
      <c r="QVF92" s="24"/>
      <c r="QVG92" s="24"/>
      <c r="QVH92" s="24"/>
      <c r="QVI92" s="24"/>
      <c r="QVJ92" s="24"/>
      <c r="QVK92" s="24"/>
      <c r="QVL92" s="24"/>
      <c r="QVM92" s="24"/>
      <c r="QVN92" s="24"/>
      <c r="QVO92" s="24"/>
      <c r="QVP92" s="24"/>
      <c r="QVQ92" s="24"/>
      <c r="QVR92" s="24"/>
      <c r="QVS92" s="24"/>
      <c r="QVT92" s="24"/>
      <c r="QVU92" s="24"/>
      <c r="QVV92" s="24"/>
      <c r="QVW92" s="24"/>
      <c r="QVX92" s="24"/>
      <c r="QVY92" s="24"/>
      <c r="QVZ92" s="24"/>
      <c r="QWA92" s="24"/>
      <c r="QWB92" s="24"/>
      <c r="QWC92" s="24"/>
      <c r="QWD92" s="24"/>
      <c r="QWE92" s="24"/>
      <c r="QWF92" s="24"/>
      <c r="QWG92" s="24"/>
      <c r="QWH92" s="24"/>
      <c r="QWI92" s="24"/>
      <c r="QWJ92" s="24"/>
      <c r="QWK92" s="24"/>
      <c r="QWL92" s="24"/>
      <c r="QWM92" s="24"/>
      <c r="QWN92" s="24"/>
      <c r="QWO92" s="24"/>
      <c r="QWP92" s="24"/>
      <c r="QWQ92" s="24"/>
      <c r="QWR92" s="24"/>
      <c r="QWS92" s="24"/>
      <c r="QWT92" s="24"/>
      <c r="QWU92" s="24"/>
      <c r="QWV92" s="24"/>
      <c r="QWW92" s="24"/>
      <c r="QWX92" s="24"/>
      <c r="QWY92" s="24"/>
      <c r="QWZ92" s="24"/>
      <c r="QXA92" s="24"/>
      <c r="QXB92" s="24"/>
      <c r="QXC92" s="24"/>
      <c r="QXD92" s="24"/>
      <c r="QXE92" s="24"/>
      <c r="QXF92" s="24"/>
      <c r="QXG92" s="24"/>
      <c r="QXH92" s="24"/>
      <c r="QXI92" s="24"/>
      <c r="QXJ92" s="24"/>
      <c r="QXK92" s="24"/>
      <c r="QXL92" s="24"/>
      <c r="QXM92" s="24"/>
      <c r="QXN92" s="24"/>
      <c r="QXO92" s="24"/>
      <c r="QXP92" s="24"/>
      <c r="QXQ92" s="24"/>
      <c r="QXR92" s="24"/>
      <c r="QXS92" s="24"/>
      <c r="QXT92" s="24"/>
      <c r="QXU92" s="24"/>
      <c r="QXV92" s="24"/>
      <c r="QXW92" s="24"/>
      <c r="QXX92" s="24"/>
      <c r="QXY92" s="24"/>
      <c r="QXZ92" s="24"/>
      <c r="QYA92" s="24"/>
      <c r="QYB92" s="24"/>
      <c r="QYC92" s="24"/>
      <c r="QYD92" s="24"/>
      <c r="QYE92" s="24"/>
      <c r="QYF92" s="24"/>
      <c r="QYG92" s="24"/>
      <c r="QYH92" s="24"/>
      <c r="QYI92" s="24"/>
      <c r="QYJ92" s="24"/>
      <c r="QYK92" s="24"/>
      <c r="QYL92" s="24"/>
      <c r="QYM92" s="24"/>
      <c r="QYN92" s="24"/>
      <c r="QYO92" s="24"/>
      <c r="QYP92" s="24"/>
      <c r="QYQ92" s="24"/>
      <c r="QYR92" s="24"/>
      <c r="QYS92" s="24"/>
      <c r="QYT92" s="24"/>
      <c r="QYU92" s="24"/>
      <c r="QYV92" s="24"/>
      <c r="QYW92" s="24"/>
      <c r="QYX92" s="24"/>
      <c r="QYY92" s="24"/>
      <c r="QYZ92" s="24"/>
      <c r="QZA92" s="24"/>
      <c r="QZB92" s="24"/>
      <c r="QZC92" s="24"/>
      <c r="QZD92" s="24"/>
      <c r="QZE92" s="24"/>
      <c r="QZF92" s="24"/>
      <c r="QZG92" s="24"/>
      <c r="QZH92" s="24"/>
      <c r="QZI92" s="24"/>
      <c r="QZJ92" s="24"/>
      <c r="QZK92" s="24"/>
      <c r="QZL92" s="24"/>
      <c r="QZM92" s="24"/>
      <c r="QZN92" s="24"/>
      <c r="QZO92" s="24"/>
      <c r="QZP92" s="24"/>
      <c r="QZQ92" s="24"/>
      <c r="QZR92" s="24"/>
      <c r="QZS92" s="24"/>
      <c r="QZT92" s="24"/>
      <c r="QZU92" s="24"/>
      <c r="QZV92" s="24"/>
      <c r="QZW92" s="24"/>
      <c r="QZX92" s="24"/>
      <c r="QZY92" s="24"/>
      <c r="QZZ92" s="24"/>
      <c r="RAA92" s="24"/>
      <c r="RAB92" s="24"/>
      <c r="RAC92" s="24"/>
      <c r="RAD92" s="24"/>
      <c r="RAE92" s="24"/>
      <c r="RAF92" s="24"/>
      <c r="RAG92" s="24"/>
      <c r="RAH92" s="24"/>
      <c r="RAI92" s="24"/>
      <c r="RAJ92" s="24"/>
      <c r="RAK92" s="24"/>
      <c r="RAL92" s="24"/>
      <c r="RAM92" s="24"/>
      <c r="RAN92" s="24"/>
      <c r="RAO92" s="24"/>
      <c r="RAP92" s="24"/>
      <c r="RAQ92" s="24"/>
      <c r="RAR92" s="24"/>
      <c r="RAS92" s="24"/>
      <c r="RAT92" s="24"/>
      <c r="RAU92" s="24"/>
      <c r="RAV92" s="24"/>
      <c r="RAW92" s="24"/>
      <c r="RAX92" s="24"/>
      <c r="RAY92" s="24"/>
      <c r="RAZ92" s="24"/>
      <c r="RBA92" s="24"/>
      <c r="RBB92" s="24"/>
      <c r="RBC92" s="24"/>
      <c r="RBD92" s="24"/>
      <c r="RBE92" s="24"/>
      <c r="RBF92" s="24"/>
      <c r="RBG92" s="24"/>
      <c r="RBH92" s="24"/>
      <c r="RBI92" s="24"/>
      <c r="RBJ92" s="24"/>
      <c r="RBK92" s="24"/>
      <c r="RBL92" s="24"/>
      <c r="RBM92" s="24"/>
      <c r="RBN92" s="24"/>
      <c r="RBO92" s="24"/>
      <c r="RBP92" s="24"/>
      <c r="RBQ92" s="24"/>
      <c r="RBR92" s="24"/>
      <c r="RBS92" s="24"/>
      <c r="RBT92" s="24"/>
      <c r="RBU92" s="24"/>
      <c r="RBV92" s="24"/>
      <c r="RBW92" s="24"/>
      <c r="RBX92" s="24"/>
      <c r="RBY92" s="24"/>
      <c r="RBZ92" s="24"/>
      <c r="RCA92" s="24"/>
      <c r="RCB92" s="24"/>
      <c r="RCC92" s="24"/>
      <c r="RCD92" s="24"/>
      <c r="RCE92" s="24"/>
      <c r="RCF92" s="24"/>
      <c r="RCG92" s="24"/>
      <c r="RCH92" s="24"/>
      <c r="RCI92" s="24"/>
      <c r="RCJ92" s="24"/>
      <c r="RCK92" s="24"/>
      <c r="RCL92" s="24"/>
      <c r="RCM92" s="24"/>
      <c r="RCN92" s="24"/>
      <c r="RCO92" s="24"/>
      <c r="RCP92" s="24"/>
      <c r="RCQ92" s="24"/>
      <c r="RCR92" s="24"/>
      <c r="RCS92" s="24"/>
      <c r="RCT92" s="24"/>
      <c r="RCU92" s="24"/>
      <c r="RCV92" s="24"/>
      <c r="RCW92" s="24"/>
      <c r="RCX92" s="24"/>
      <c r="RCY92" s="24"/>
      <c r="RCZ92" s="24"/>
      <c r="RDA92" s="24"/>
      <c r="RDB92" s="24"/>
      <c r="RDC92" s="24"/>
      <c r="RDD92" s="24"/>
      <c r="RDE92" s="24"/>
      <c r="RDF92" s="24"/>
      <c r="RDG92" s="24"/>
      <c r="RDH92" s="24"/>
      <c r="RDI92" s="24"/>
      <c r="RDJ92" s="24"/>
      <c r="RDK92" s="24"/>
      <c r="RDL92" s="24"/>
      <c r="RDM92" s="24"/>
      <c r="RDN92" s="24"/>
      <c r="RDO92" s="24"/>
      <c r="RDP92" s="24"/>
      <c r="RDQ92" s="24"/>
      <c r="RDR92" s="24"/>
      <c r="RDS92" s="24"/>
      <c r="RDT92" s="24"/>
      <c r="RDU92" s="24"/>
      <c r="RDV92" s="24"/>
      <c r="RDW92" s="24"/>
      <c r="RDX92" s="24"/>
      <c r="RDY92" s="24"/>
      <c r="RDZ92" s="24"/>
      <c r="REA92" s="24"/>
      <c r="REB92" s="24"/>
      <c r="REC92" s="24"/>
      <c r="RED92" s="24"/>
      <c r="REE92" s="24"/>
      <c r="REF92" s="24"/>
      <c r="REG92" s="24"/>
      <c r="REH92" s="24"/>
      <c r="REI92" s="24"/>
      <c r="REJ92" s="24"/>
      <c r="REK92" s="24"/>
      <c r="REL92" s="24"/>
      <c r="REM92" s="24"/>
      <c r="REN92" s="24"/>
      <c r="REO92" s="24"/>
      <c r="REP92" s="24"/>
      <c r="REQ92" s="24"/>
      <c r="RER92" s="24"/>
      <c r="RES92" s="24"/>
      <c r="RET92" s="24"/>
      <c r="REU92" s="24"/>
      <c r="REV92" s="24"/>
      <c r="REW92" s="24"/>
      <c r="REX92" s="24"/>
      <c r="REY92" s="24"/>
      <c r="REZ92" s="24"/>
      <c r="RFA92" s="24"/>
      <c r="RFB92" s="24"/>
      <c r="RFC92" s="24"/>
      <c r="RFD92" s="24"/>
      <c r="RFE92" s="24"/>
      <c r="RFF92" s="24"/>
      <c r="RFG92" s="24"/>
      <c r="RFH92" s="24"/>
      <c r="RFI92" s="24"/>
      <c r="RFJ92" s="24"/>
      <c r="RFK92" s="24"/>
      <c r="RFL92" s="24"/>
      <c r="RFM92" s="24"/>
      <c r="RFN92" s="24"/>
      <c r="RFO92" s="24"/>
      <c r="RFP92" s="24"/>
      <c r="RFQ92" s="24"/>
      <c r="RFR92" s="24"/>
      <c r="RFS92" s="24"/>
      <c r="RFT92" s="24"/>
      <c r="RFU92" s="24"/>
      <c r="RFV92" s="24"/>
      <c r="RFW92" s="24"/>
      <c r="RFX92" s="24"/>
      <c r="RFY92" s="24"/>
      <c r="RFZ92" s="24"/>
      <c r="RGA92" s="24"/>
      <c r="RGB92" s="24"/>
      <c r="RGC92" s="24"/>
      <c r="RGD92" s="24"/>
      <c r="RGE92" s="24"/>
      <c r="RGF92" s="24"/>
      <c r="RGG92" s="24"/>
      <c r="RGH92" s="24"/>
      <c r="RGI92" s="24"/>
      <c r="RGJ92" s="24"/>
      <c r="RGK92" s="24"/>
      <c r="RGL92" s="24"/>
      <c r="RGM92" s="24"/>
      <c r="RGN92" s="24"/>
      <c r="RGO92" s="24"/>
      <c r="RGP92" s="24"/>
      <c r="RGQ92" s="24"/>
      <c r="RGR92" s="24"/>
      <c r="RGS92" s="24"/>
      <c r="RGT92" s="24"/>
      <c r="RGU92" s="24"/>
      <c r="RGV92" s="24"/>
      <c r="RGW92" s="24"/>
      <c r="RGX92" s="24"/>
      <c r="RGY92" s="24"/>
      <c r="RGZ92" s="24"/>
      <c r="RHA92" s="24"/>
      <c r="RHB92" s="24"/>
      <c r="RHC92" s="24"/>
      <c r="RHD92" s="24"/>
      <c r="RHE92" s="24"/>
      <c r="RHF92" s="24"/>
      <c r="RHG92" s="24"/>
      <c r="RHH92" s="24"/>
      <c r="RHI92" s="24"/>
      <c r="RHJ92" s="24"/>
      <c r="RHK92" s="24"/>
      <c r="RHL92" s="24"/>
      <c r="RHM92" s="24"/>
      <c r="RHN92" s="24"/>
      <c r="RHO92" s="24"/>
      <c r="RHP92" s="24"/>
      <c r="RHQ92" s="24"/>
      <c r="RHR92" s="24"/>
      <c r="RHS92" s="24"/>
      <c r="RHT92" s="24"/>
      <c r="RHU92" s="24"/>
      <c r="RHV92" s="24"/>
      <c r="RHW92" s="24"/>
      <c r="RHX92" s="24"/>
      <c r="RHY92" s="24"/>
      <c r="RHZ92" s="24"/>
      <c r="RIA92" s="24"/>
      <c r="RIB92" s="24"/>
      <c r="RIC92" s="24"/>
      <c r="RID92" s="24"/>
      <c r="RIE92" s="24"/>
      <c r="RIF92" s="24"/>
      <c r="RIG92" s="24"/>
      <c r="RIH92" s="24"/>
      <c r="RII92" s="24"/>
      <c r="RIJ92" s="24"/>
      <c r="RIK92" s="24"/>
      <c r="RIL92" s="24"/>
      <c r="RIM92" s="24"/>
      <c r="RIN92" s="24"/>
      <c r="RIO92" s="24"/>
      <c r="RIP92" s="24"/>
      <c r="RIQ92" s="24"/>
      <c r="RIR92" s="24"/>
      <c r="RIS92" s="24"/>
      <c r="RIT92" s="24"/>
      <c r="RIU92" s="24"/>
      <c r="RIV92" s="24"/>
      <c r="RIW92" s="24"/>
      <c r="RIX92" s="24"/>
      <c r="RIY92" s="24"/>
      <c r="RIZ92" s="24"/>
      <c r="RJA92" s="24"/>
      <c r="RJB92" s="24"/>
      <c r="RJC92" s="24"/>
      <c r="RJD92" s="24"/>
      <c r="RJE92" s="24"/>
      <c r="RJF92" s="24"/>
      <c r="RJG92" s="24"/>
      <c r="RJH92" s="24"/>
      <c r="RJI92" s="24"/>
      <c r="RJJ92" s="24"/>
      <c r="RJK92" s="24"/>
      <c r="RJL92" s="24"/>
      <c r="RJM92" s="24"/>
      <c r="RJN92" s="24"/>
      <c r="RJO92" s="24"/>
      <c r="RJP92" s="24"/>
      <c r="RJQ92" s="24"/>
      <c r="RJR92" s="24"/>
      <c r="RJS92" s="24"/>
      <c r="RJT92" s="24"/>
      <c r="RJU92" s="24"/>
      <c r="RJV92" s="24"/>
      <c r="RJW92" s="24"/>
      <c r="RJX92" s="24"/>
      <c r="RJY92" s="24"/>
      <c r="RJZ92" s="24"/>
      <c r="RKA92" s="24"/>
      <c r="RKB92" s="24"/>
      <c r="RKC92" s="24"/>
      <c r="RKD92" s="24"/>
      <c r="RKE92" s="24"/>
      <c r="RKF92" s="24"/>
      <c r="RKG92" s="24"/>
      <c r="RKH92" s="24"/>
      <c r="RKI92" s="24"/>
      <c r="RKJ92" s="24"/>
      <c r="RKK92" s="24"/>
      <c r="RKL92" s="24"/>
      <c r="RKM92" s="24"/>
      <c r="RKN92" s="24"/>
      <c r="RKO92" s="24"/>
      <c r="RKP92" s="24"/>
      <c r="RKQ92" s="24"/>
      <c r="RKR92" s="24"/>
      <c r="RKS92" s="24"/>
      <c r="RKT92" s="24"/>
      <c r="RKU92" s="24"/>
      <c r="RKV92" s="24"/>
      <c r="RKW92" s="24"/>
      <c r="RKX92" s="24"/>
      <c r="RKY92" s="24"/>
      <c r="RKZ92" s="24"/>
      <c r="RLA92" s="24"/>
      <c r="RLB92" s="24"/>
      <c r="RLC92" s="24"/>
      <c r="RLD92" s="24"/>
      <c r="RLE92" s="24"/>
      <c r="RLF92" s="24"/>
      <c r="RLG92" s="24"/>
      <c r="RLH92" s="24"/>
      <c r="RLI92" s="24"/>
      <c r="RLJ92" s="24"/>
      <c r="RLK92" s="24"/>
      <c r="RLL92" s="24"/>
      <c r="RLM92" s="24"/>
      <c r="RLN92" s="24"/>
      <c r="RLO92" s="24"/>
      <c r="RLP92" s="24"/>
      <c r="RLQ92" s="24"/>
      <c r="RLR92" s="24"/>
      <c r="RLS92" s="24"/>
      <c r="RLT92" s="24"/>
      <c r="RLU92" s="24"/>
      <c r="RLV92" s="24"/>
      <c r="RLW92" s="24"/>
      <c r="RLX92" s="24"/>
      <c r="RLY92" s="24"/>
      <c r="RLZ92" s="24"/>
      <c r="RMA92" s="24"/>
      <c r="RMB92" s="24"/>
      <c r="RMC92" s="24"/>
      <c r="RMD92" s="24"/>
      <c r="RME92" s="24"/>
      <c r="RMF92" s="24"/>
      <c r="RMG92" s="24"/>
      <c r="RMH92" s="24"/>
      <c r="RMI92" s="24"/>
      <c r="RMJ92" s="24"/>
      <c r="RMK92" s="24"/>
      <c r="RML92" s="24"/>
      <c r="RMM92" s="24"/>
      <c r="RMN92" s="24"/>
      <c r="RMO92" s="24"/>
      <c r="RMP92" s="24"/>
      <c r="RMQ92" s="24"/>
      <c r="RMR92" s="24"/>
      <c r="RMS92" s="24"/>
      <c r="RMT92" s="24"/>
      <c r="RMU92" s="24"/>
      <c r="RMV92" s="24"/>
      <c r="RMW92" s="24"/>
      <c r="RMX92" s="24"/>
      <c r="RMY92" s="24"/>
      <c r="RMZ92" s="24"/>
      <c r="RNA92" s="24"/>
      <c r="RNB92" s="24"/>
      <c r="RNC92" s="24"/>
      <c r="RND92" s="24"/>
      <c r="RNE92" s="24"/>
      <c r="RNF92" s="24"/>
      <c r="RNG92" s="24"/>
      <c r="RNH92" s="24"/>
      <c r="RNI92" s="24"/>
      <c r="RNJ92" s="24"/>
      <c r="RNK92" s="24"/>
      <c r="RNL92" s="24"/>
      <c r="RNM92" s="24"/>
      <c r="RNN92" s="24"/>
      <c r="RNO92" s="24"/>
      <c r="RNP92" s="24"/>
      <c r="RNQ92" s="24"/>
      <c r="RNR92" s="24"/>
      <c r="RNS92" s="24"/>
      <c r="RNT92" s="24"/>
      <c r="RNU92" s="24"/>
      <c r="RNV92" s="24"/>
      <c r="RNW92" s="24"/>
      <c r="RNX92" s="24"/>
      <c r="RNY92" s="24"/>
      <c r="RNZ92" s="24"/>
      <c r="ROA92" s="24"/>
      <c r="ROB92" s="24"/>
      <c r="ROC92" s="24"/>
      <c r="ROD92" s="24"/>
      <c r="ROE92" s="24"/>
      <c r="ROF92" s="24"/>
      <c r="ROG92" s="24"/>
      <c r="ROH92" s="24"/>
      <c r="ROI92" s="24"/>
      <c r="ROJ92" s="24"/>
      <c r="ROK92" s="24"/>
      <c r="ROL92" s="24"/>
      <c r="ROM92" s="24"/>
      <c r="RON92" s="24"/>
      <c r="ROO92" s="24"/>
      <c r="ROP92" s="24"/>
      <c r="ROQ92" s="24"/>
      <c r="ROR92" s="24"/>
      <c r="ROS92" s="24"/>
      <c r="ROT92" s="24"/>
      <c r="ROU92" s="24"/>
      <c r="ROV92" s="24"/>
      <c r="ROW92" s="24"/>
      <c r="ROX92" s="24"/>
      <c r="ROY92" s="24"/>
      <c r="ROZ92" s="24"/>
      <c r="RPA92" s="24"/>
      <c r="RPB92" s="24"/>
      <c r="RPC92" s="24"/>
      <c r="RPD92" s="24"/>
      <c r="RPE92" s="24"/>
      <c r="RPF92" s="24"/>
      <c r="RPG92" s="24"/>
      <c r="RPH92" s="24"/>
      <c r="RPI92" s="24"/>
      <c r="RPJ92" s="24"/>
      <c r="RPK92" s="24"/>
      <c r="RPL92" s="24"/>
      <c r="RPM92" s="24"/>
      <c r="RPN92" s="24"/>
      <c r="RPO92" s="24"/>
      <c r="RPP92" s="24"/>
      <c r="RPQ92" s="24"/>
      <c r="RPR92" s="24"/>
      <c r="RPS92" s="24"/>
      <c r="RPT92" s="24"/>
      <c r="RPU92" s="24"/>
      <c r="RPV92" s="24"/>
      <c r="RPW92" s="24"/>
      <c r="RPX92" s="24"/>
      <c r="RPY92" s="24"/>
      <c r="RPZ92" s="24"/>
      <c r="RQA92" s="24"/>
      <c r="RQB92" s="24"/>
      <c r="RQC92" s="24"/>
      <c r="RQD92" s="24"/>
      <c r="RQE92" s="24"/>
      <c r="RQF92" s="24"/>
      <c r="RQG92" s="24"/>
      <c r="RQH92" s="24"/>
      <c r="RQI92" s="24"/>
      <c r="RQJ92" s="24"/>
      <c r="RQK92" s="24"/>
      <c r="RQL92" s="24"/>
      <c r="RQM92" s="24"/>
      <c r="RQN92" s="24"/>
      <c r="RQO92" s="24"/>
      <c r="RQP92" s="24"/>
      <c r="RQQ92" s="24"/>
      <c r="RQR92" s="24"/>
      <c r="RQS92" s="24"/>
      <c r="RQT92" s="24"/>
      <c r="RQU92" s="24"/>
      <c r="RQV92" s="24"/>
      <c r="RQW92" s="24"/>
      <c r="RQX92" s="24"/>
      <c r="RQY92" s="24"/>
      <c r="RQZ92" s="24"/>
      <c r="RRA92" s="24"/>
      <c r="RRB92" s="24"/>
      <c r="RRC92" s="24"/>
      <c r="RRD92" s="24"/>
      <c r="RRE92" s="24"/>
      <c r="RRF92" s="24"/>
      <c r="RRG92" s="24"/>
      <c r="RRH92" s="24"/>
      <c r="RRI92" s="24"/>
      <c r="RRJ92" s="24"/>
      <c r="RRK92" s="24"/>
      <c r="RRL92" s="24"/>
      <c r="RRM92" s="24"/>
      <c r="RRN92" s="24"/>
      <c r="RRO92" s="24"/>
      <c r="RRP92" s="24"/>
      <c r="RRQ92" s="24"/>
      <c r="RRR92" s="24"/>
      <c r="RRS92" s="24"/>
      <c r="RRT92" s="24"/>
      <c r="RRU92" s="24"/>
      <c r="RRV92" s="24"/>
      <c r="RRW92" s="24"/>
      <c r="RRX92" s="24"/>
      <c r="RRY92" s="24"/>
      <c r="RRZ92" s="24"/>
      <c r="RSA92" s="24"/>
      <c r="RSB92" s="24"/>
      <c r="RSC92" s="24"/>
      <c r="RSD92" s="24"/>
      <c r="RSE92" s="24"/>
      <c r="RSF92" s="24"/>
      <c r="RSG92" s="24"/>
      <c r="RSH92" s="24"/>
      <c r="RSI92" s="24"/>
      <c r="RSJ92" s="24"/>
      <c r="RSK92" s="24"/>
      <c r="RSL92" s="24"/>
      <c r="RSM92" s="24"/>
      <c r="RSN92" s="24"/>
      <c r="RSO92" s="24"/>
      <c r="RSP92" s="24"/>
      <c r="RSQ92" s="24"/>
      <c r="RSR92" s="24"/>
      <c r="RSS92" s="24"/>
      <c r="RST92" s="24"/>
      <c r="RSU92" s="24"/>
      <c r="RSV92" s="24"/>
      <c r="RSW92" s="24"/>
      <c r="RSX92" s="24"/>
      <c r="RSY92" s="24"/>
      <c r="RSZ92" s="24"/>
      <c r="RTA92" s="24"/>
      <c r="RTB92" s="24"/>
      <c r="RTC92" s="24"/>
      <c r="RTD92" s="24"/>
      <c r="RTE92" s="24"/>
      <c r="RTF92" s="24"/>
      <c r="RTG92" s="24"/>
      <c r="RTH92" s="24"/>
      <c r="RTI92" s="24"/>
      <c r="RTJ92" s="24"/>
      <c r="RTK92" s="24"/>
      <c r="RTL92" s="24"/>
      <c r="RTM92" s="24"/>
      <c r="RTN92" s="24"/>
      <c r="RTO92" s="24"/>
      <c r="RTP92" s="24"/>
      <c r="RTQ92" s="24"/>
      <c r="RTR92" s="24"/>
      <c r="RTS92" s="24"/>
      <c r="RTT92" s="24"/>
      <c r="RTU92" s="24"/>
      <c r="RTV92" s="24"/>
      <c r="RTW92" s="24"/>
      <c r="RTX92" s="24"/>
      <c r="RTY92" s="24"/>
      <c r="RTZ92" s="24"/>
      <c r="RUA92" s="24"/>
      <c r="RUB92" s="24"/>
      <c r="RUC92" s="24"/>
      <c r="RUD92" s="24"/>
      <c r="RUE92" s="24"/>
      <c r="RUF92" s="24"/>
      <c r="RUG92" s="24"/>
      <c r="RUH92" s="24"/>
      <c r="RUI92" s="24"/>
      <c r="RUJ92" s="24"/>
      <c r="RUK92" s="24"/>
      <c r="RUL92" s="24"/>
      <c r="RUM92" s="24"/>
      <c r="RUN92" s="24"/>
      <c r="RUO92" s="24"/>
      <c r="RUP92" s="24"/>
      <c r="RUQ92" s="24"/>
      <c r="RUR92" s="24"/>
      <c r="RUS92" s="24"/>
      <c r="RUT92" s="24"/>
      <c r="RUU92" s="24"/>
      <c r="RUV92" s="24"/>
      <c r="RUW92" s="24"/>
      <c r="RUX92" s="24"/>
      <c r="RUY92" s="24"/>
      <c r="RUZ92" s="24"/>
      <c r="RVA92" s="24"/>
      <c r="RVB92" s="24"/>
      <c r="RVC92" s="24"/>
      <c r="RVD92" s="24"/>
      <c r="RVE92" s="24"/>
      <c r="RVF92" s="24"/>
      <c r="RVG92" s="24"/>
      <c r="RVH92" s="24"/>
      <c r="RVI92" s="24"/>
      <c r="RVJ92" s="24"/>
      <c r="RVK92" s="24"/>
      <c r="RVL92" s="24"/>
      <c r="RVM92" s="24"/>
      <c r="RVN92" s="24"/>
      <c r="RVO92" s="24"/>
      <c r="RVP92" s="24"/>
      <c r="RVQ92" s="24"/>
      <c r="RVR92" s="24"/>
      <c r="RVS92" s="24"/>
      <c r="RVT92" s="24"/>
      <c r="RVU92" s="24"/>
      <c r="RVV92" s="24"/>
      <c r="RVW92" s="24"/>
      <c r="RVX92" s="24"/>
      <c r="RVY92" s="24"/>
      <c r="RVZ92" s="24"/>
      <c r="RWA92" s="24"/>
      <c r="RWB92" s="24"/>
      <c r="RWC92" s="24"/>
      <c r="RWD92" s="24"/>
      <c r="RWE92" s="24"/>
      <c r="RWF92" s="24"/>
      <c r="RWG92" s="24"/>
      <c r="RWH92" s="24"/>
      <c r="RWI92" s="24"/>
      <c r="RWJ92" s="24"/>
      <c r="RWK92" s="24"/>
      <c r="RWL92" s="24"/>
      <c r="RWM92" s="24"/>
      <c r="RWN92" s="24"/>
      <c r="RWO92" s="24"/>
      <c r="RWP92" s="24"/>
      <c r="RWQ92" s="24"/>
      <c r="RWR92" s="24"/>
      <c r="RWS92" s="24"/>
      <c r="RWT92" s="24"/>
      <c r="RWU92" s="24"/>
      <c r="RWV92" s="24"/>
      <c r="RWW92" s="24"/>
      <c r="RWX92" s="24"/>
      <c r="RWY92" s="24"/>
      <c r="RWZ92" s="24"/>
      <c r="RXA92" s="24"/>
      <c r="RXB92" s="24"/>
      <c r="RXC92" s="24"/>
      <c r="RXD92" s="24"/>
      <c r="RXE92" s="24"/>
      <c r="RXF92" s="24"/>
      <c r="RXG92" s="24"/>
      <c r="RXH92" s="24"/>
      <c r="RXI92" s="24"/>
      <c r="RXJ92" s="24"/>
      <c r="RXK92" s="24"/>
      <c r="RXL92" s="24"/>
      <c r="RXM92" s="24"/>
      <c r="RXN92" s="24"/>
      <c r="RXO92" s="24"/>
      <c r="RXP92" s="24"/>
      <c r="RXQ92" s="24"/>
      <c r="RXR92" s="24"/>
      <c r="RXS92" s="24"/>
      <c r="RXT92" s="24"/>
      <c r="RXU92" s="24"/>
      <c r="RXV92" s="24"/>
      <c r="RXW92" s="24"/>
      <c r="RXX92" s="24"/>
      <c r="RXY92" s="24"/>
      <c r="RXZ92" s="24"/>
      <c r="RYA92" s="24"/>
      <c r="RYB92" s="24"/>
      <c r="RYC92" s="24"/>
      <c r="RYD92" s="24"/>
      <c r="RYE92" s="24"/>
      <c r="RYF92" s="24"/>
      <c r="RYG92" s="24"/>
      <c r="RYH92" s="24"/>
      <c r="RYI92" s="24"/>
      <c r="RYJ92" s="24"/>
      <c r="RYK92" s="24"/>
      <c r="RYL92" s="24"/>
      <c r="RYM92" s="24"/>
      <c r="RYN92" s="24"/>
      <c r="RYO92" s="24"/>
      <c r="RYP92" s="24"/>
      <c r="RYQ92" s="24"/>
      <c r="RYR92" s="24"/>
      <c r="RYS92" s="24"/>
      <c r="RYT92" s="24"/>
      <c r="RYU92" s="24"/>
      <c r="RYV92" s="24"/>
      <c r="RYW92" s="24"/>
      <c r="RYX92" s="24"/>
      <c r="RYY92" s="24"/>
      <c r="RYZ92" s="24"/>
      <c r="RZA92" s="24"/>
      <c r="RZB92" s="24"/>
      <c r="RZC92" s="24"/>
      <c r="RZD92" s="24"/>
      <c r="RZE92" s="24"/>
      <c r="RZF92" s="24"/>
      <c r="RZG92" s="24"/>
      <c r="RZH92" s="24"/>
      <c r="RZI92" s="24"/>
      <c r="RZJ92" s="24"/>
      <c r="RZK92" s="24"/>
      <c r="RZL92" s="24"/>
      <c r="RZM92" s="24"/>
      <c r="RZN92" s="24"/>
      <c r="RZO92" s="24"/>
      <c r="RZP92" s="24"/>
      <c r="RZQ92" s="24"/>
      <c r="RZR92" s="24"/>
      <c r="RZS92" s="24"/>
      <c r="RZT92" s="24"/>
      <c r="RZU92" s="24"/>
      <c r="RZV92" s="24"/>
      <c r="RZW92" s="24"/>
      <c r="RZX92" s="24"/>
      <c r="RZY92" s="24"/>
      <c r="RZZ92" s="24"/>
      <c r="SAA92" s="24"/>
      <c r="SAB92" s="24"/>
      <c r="SAC92" s="24"/>
      <c r="SAD92" s="24"/>
      <c r="SAE92" s="24"/>
      <c r="SAF92" s="24"/>
      <c r="SAG92" s="24"/>
      <c r="SAH92" s="24"/>
      <c r="SAI92" s="24"/>
      <c r="SAJ92" s="24"/>
      <c r="SAK92" s="24"/>
      <c r="SAL92" s="24"/>
      <c r="SAM92" s="24"/>
      <c r="SAN92" s="24"/>
      <c r="SAO92" s="24"/>
      <c r="SAP92" s="24"/>
      <c r="SAQ92" s="24"/>
      <c r="SAR92" s="24"/>
      <c r="SAS92" s="24"/>
      <c r="SAT92" s="24"/>
      <c r="SAU92" s="24"/>
      <c r="SAV92" s="24"/>
      <c r="SAW92" s="24"/>
      <c r="SAX92" s="24"/>
      <c r="SAY92" s="24"/>
      <c r="SAZ92" s="24"/>
      <c r="SBA92" s="24"/>
      <c r="SBB92" s="24"/>
      <c r="SBC92" s="24"/>
      <c r="SBD92" s="24"/>
      <c r="SBE92" s="24"/>
      <c r="SBF92" s="24"/>
      <c r="SBG92" s="24"/>
      <c r="SBH92" s="24"/>
      <c r="SBI92" s="24"/>
      <c r="SBJ92" s="24"/>
      <c r="SBK92" s="24"/>
      <c r="SBL92" s="24"/>
      <c r="SBM92" s="24"/>
      <c r="SBN92" s="24"/>
      <c r="SBO92" s="24"/>
      <c r="SBP92" s="24"/>
      <c r="SBQ92" s="24"/>
      <c r="SBR92" s="24"/>
      <c r="SBS92" s="24"/>
      <c r="SBT92" s="24"/>
      <c r="SBU92" s="24"/>
      <c r="SBV92" s="24"/>
      <c r="SBW92" s="24"/>
      <c r="SBX92" s="24"/>
      <c r="SBY92" s="24"/>
      <c r="SBZ92" s="24"/>
      <c r="SCA92" s="24"/>
      <c r="SCB92" s="24"/>
      <c r="SCC92" s="24"/>
      <c r="SCD92" s="24"/>
      <c r="SCE92" s="24"/>
      <c r="SCF92" s="24"/>
      <c r="SCG92" s="24"/>
      <c r="SCH92" s="24"/>
      <c r="SCI92" s="24"/>
      <c r="SCJ92" s="24"/>
      <c r="SCK92" s="24"/>
      <c r="SCL92" s="24"/>
      <c r="SCM92" s="24"/>
      <c r="SCN92" s="24"/>
      <c r="SCO92" s="24"/>
      <c r="SCP92" s="24"/>
      <c r="SCQ92" s="24"/>
      <c r="SCR92" s="24"/>
      <c r="SCS92" s="24"/>
      <c r="SCT92" s="24"/>
      <c r="SCU92" s="24"/>
      <c r="SCV92" s="24"/>
      <c r="SCW92" s="24"/>
      <c r="SCX92" s="24"/>
      <c r="SCY92" s="24"/>
      <c r="SCZ92" s="24"/>
      <c r="SDA92" s="24"/>
      <c r="SDB92" s="24"/>
      <c r="SDC92" s="24"/>
      <c r="SDD92" s="24"/>
      <c r="SDE92" s="24"/>
      <c r="SDF92" s="24"/>
      <c r="SDG92" s="24"/>
      <c r="SDH92" s="24"/>
      <c r="SDI92" s="24"/>
      <c r="SDJ92" s="24"/>
      <c r="SDK92" s="24"/>
      <c r="SDL92" s="24"/>
      <c r="SDM92" s="24"/>
      <c r="SDN92" s="24"/>
      <c r="SDO92" s="24"/>
      <c r="SDP92" s="24"/>
      <c r="SDQ92" s="24"/>
      <c r="SDR92" s="24"/>
      <c r="SDS92" s="24"/>
      <c r="SDT92" s="24"/>
      <c r="SDU92" s="24"/>
      <c r="SDV92" s="24"/>
      <c r="SDW92" s="24"/>
      <c r="SDX92" s="24"/>
      <c r="SDY92" s="24"/>
      <c r="SDZ92" s="24"/>
      <c r="SEA92" s="24"/>
      <c r="SEB92" s="24"/>
      <c r="SEC92" s="24"/>
      <c r="SED92" s="24"/>
      <c r="SEE92" s="24"/>
      <c r="SEF92" s="24"/>
      <c r="SEG92" s="24"/>
      <c r="SEH92" s="24"/>
      <c r="SEI92" s="24"/>
      <c r="SEJ92" s="24"/>
      <c r="SEK92" s="24"/>
      <c r="SEL92" s="24"/>
      <c r="SEM92" s="24"/>
      <c r="SEN92" s="24"/>
      <c r="SEO92" s="24"/>
      <c r="SEP92" s="24"/>
      <c r="SEQ92" s="24"/>
      <c r="SER92" s="24"/>
      <c r="SES92" s="24"/>
      <c r="SET92" s="24"/>
      <c r="SEU92" s="24"/>
      <c r="SEV92" s="24"/>
      <c r="SEW92" s="24"/>
      <c r="SEX92" s="24"/>
      <c r="SEY92" s="24"/>
      <c r="SEZ92" s="24"/>
      <c r="SFA92" s="24"/>
      <c r="SFB92" s="24"/>
      <c r="SFC92" s="24"/>
      <c r="SFD92" s="24"/>
      <c r="SFE92" s="24"/>
      <c r="SFF92" s="24"/>
      <c r="SFG92" s="24"/>
      <c r="SFH92" s="24"/>
      <c r="SFI92" s="24"/>
      <c r="SFJ92" s="24"/>
      <c r="SFK92" s="24"/>
      <c r="SFL92" s="24"/>
      <c r="SFM92" s="24"/>
      <c r="SFN92" s="24"/>
      <c r="SFO92" s="24"/>
      <c r="SFP92" s="24"/>
      <c r="SFQ92" s="24"/>
      <c r="SFR92" s="24"/>
      <c r="SFS92" s="24"/>
      <c r="SFT92" s="24"/>
      <c r="SFU92" s="24"/>
      <c r="SFV92" s="24"/>
      <c r="SFW92" s="24"/>
      <c r="SFX92" s="24"/>
      <c r="SFY92" s="24"/>
      <c r="SFZ92" s="24"/>
      <c r="SGA92" s="24"/>
      <c r="SGB92" s="24"/>
      <c r="SGC92" s="24"/>
      <c r="SGD92" s="24"/>
      <c r="SGE92" s="24"/>
      <c r="SGF92" s="24"/>
      <c r="SGG92" s="24"/>
      <c r="SGH92" s="24"/>
      <c r="SGI92" s="24"/>
      <c r="SGJ92" s="24"/>
      <c r="SGK92" s="24"/>
      <c r="SGL92" s="24"/>
      <c r="SGM92" s="24"/>
      <c r="SGN92" s="24"/>
      <c r="SGO92" s="24"/>
      <c r="SGP92" s="24"/>
      <c r="SGQ92" s="24"/>
      <c r="SGR92" s="24"/>
      <c r="SGS92" s="24"/>
      <c r="SGT92" s="24"/>
      <c r="SGU92" s="24"/>
      <c r="SGV92" s="24"/>
      <c r="SGW92" s="24"/>
      <c r="SGX92" s="24"/>
      <c r="SGY92" s="24"/>
      <c r="SGZ92" s="24"/>
      <c r="SHA92" s="24"/>
      <c r="SHB92" s="24"/>
      <c r="SHC92" s="24"/>
      <c r="SHD92" s="24"/>
      <c r="SHE92" s="24"/>
      <c r="SHF92" s="24"/>
      <c r="SHG92" s="24"/>
      <c r="SHH92" s="24"/>
      <c r="SHI92" s="24"/>
      <c r="SHJ92" s="24"/>
      <c r="SHK92" s="24"/>
      <c r="SHL92" s="24"/>
      <c r="SHM92" s="24"/>
      <c r="SHN92" s="24"/>
      <c r="SHO92" s="24"/>
      <c r="SHP92" s="24"/>
      <c r="SHQ92" s="24"/>
      <c r="SHR92" s="24"/>
      <c r="SHS92" s="24"/>
      <c r="SHT92" s="24"/>
      <c r="SHU92" s="24"/>
      <c r="SHV92" s="24"/>
      <c r="SHW92" s="24"/>
      <c r="SHX92" s="24"/>
      <c r="SHY92" s="24"/>
      <c r="SHZ92" s="24"/>
      <c r="SIA92" s="24"/>
      <c r="SIB92" s="24"/>
      <c r="SIC92" s="24"/>
      <c r="SID92" s="24"/>
      <c r="SIE92" s="24"/>
      <c r="SIF92" s="24"/>
      <c r="SIG92" s="24"/>
      <c r="SIH92" s="24"/>
      <c r="SII92" s="24"/>
      <c r="SIJ92" s="24"/>
      <c r="SIK92" s="24"/>
      <c r="SIL92" s="24"/>
      <c r="SIM92" s="24"/>
      <c r="SIN92" s="24"/>
      <c r="SIO92" s="24"/>
      <c r="SIP92" s="24"/>
      <c r="SIQ92" s="24"/>
      <c r="SIR92" s="24"/>
      <c r="SIS92" s="24"/>
      <c r="SIT92" s="24"/>
      <c r="SIU92" s="24"/>
      <c r="SIV92" s="24"/>
      <c r="SIW92" s="24"/>
      <c r="SIX92" s="24"/>
      <c r="SIY92" s="24"/>
      <c r="SIZ92" s="24"/>
      <c r="SJA92" s="24"/>
      <c r="SJB92" s="24"/>
      <c r="SJC92" s="24"/>
      <c r="SJD92" s="24"/>
      <c r="SJE92" s="24"/>
      <c r="SJF92" s="24"/>
      <c r="SJG92" s="24"/>
      <c r="SJH92" s="24"/>
      <c r="SJI92" s="24"/>
      <c r="SJJ92" s="24"/>
      <c r="SJK92" s="24"/>
      <c r="SJL92" s="24"/>
      <c r="SJM92" s="24"/>
      <c r="SJN92" s="24"/>
      <c r="SJO92" s="24"/>
      <c r="SJP92" s="24"/>
      <c r="SJQ92" s="24"/>
      <c r="SJR92" s="24"/>
      <c r="SJS92" s="24"/>
      <c r="SJT92" s="24"/>
      <c r="SJU92" s="24"/>
      <c r="SJV92" s="24"/>
      <c r="SJW92" s="24"/>
      <c r="SJX92" s="24"/>
      <c r="SJY92" s="24"/>
      <c r="SJZ92" s="24"/>
      <c r="SKA92" s="24"/>
      <c r="SKB92" s="24"/>
      <c r="SKC92" s="24"/>
      <c r="SKD92" s="24"/>
      <c r="SKE92" s="24"/>
      <c r="SKF92" s="24"/>
      <c r="SKG92" s="24"/>
      <c r="SKH92" s="24"/>
      <c r="SKI92" s="24"/>
      <c r="SKJ92" s="24"/>
      <c r="SKK92" s="24"/>
      <c r="SKL92" s="24"/>
      <c r="SKM92" s="24"/>
      <c r="SKN92" s="24"/>
      <c r="SKO92" s="24"/>
      <c r="SKP92" s="24"/>
      <c r="SKQ92" s="24"/>
      <c r="SKR92" s="24"/>
      <c r="SKS92" s="24"/>
      <c r="SKT92" s="24"/>
      <c r="SKU92" s="24"/>
      <c r="SKV92" s="24"/>
      <c r="SKW92" s="24"/>
      <c r="SKX92" s="24"/>
      <c r="SKY92" s="24"/>
      <c r="SKZ92" s="24"/>
      <c r="SLA92" s="24"/>
      <c r="SLB92" s="24"/>
      <c r="SLC92" s="24"/>
      <c r="SLD92" s="24"/>
      <c r="SLE92" s="24"/>
      <c r="SLF92" s="24"/>
      <c r="SLG92" s="24"/>
      <c r="SLH92" s="24"/>
      <c r="SLI92" s="24"/>
      <c r="SLJ92" s="24"/>
      <c r="SLK92" s="24"/>
      <c r="SLL92" s="24"/>
      <c r="SLM92" s="24"/>
      <c r="SLN92" s="24"/>
      <c r="SLO92" s="24"/>
      <c r="SLP92" s="24"/>
      <c r="SLQ92" s="24"/>
      <c r="SLR92" s="24"/>
      <c r="SLS92" s="24"/>
      <c r="SLT92" s="24"/>
      <c r="SLU92" s="24"/>
      <c r="SLV92" s="24"/>
      <c r="SLW92" s="24"/>
      <c r="SLX92" s="24"/>
      <c r="SLY92" s="24"/>
      <c r="SLZ92" s="24"/>
      <c r="SMA92" s="24"/>
      <c r="SMB92" s="24"/>
      <c r="SMC92" s="24"/>
      <c r="SMD92" s="24"/>
      <c r="SME92" s="24"/>
      <c r="SMF92" s="24"/>
      <c r="SMG92" s="24"/>
      <c r="SMH92" s="24"/>
      <c r="SMI92" s="24"/>
      <c r="SMJ92" s="24"/>
      <c r="SMK92" s="24"/>
      <c r="SML92" s="24"/>
      <c r="SMM92" s="24"/>
      <c r="SMN92" s="24"/>
      <c r="SMO92" s="24"/>
      <c r="SMP92" s="24"/>
      <c r="SMQ92" s="24"/>
      <c r="SMR92" s="24"/>
      <c r="SMS92" s="24"/>
      <c r="SMT92" s="24"/>
      <c r="SMU92" s="24"/>
      <c r="SMV92" s="24"/>
      <c r="SMW92" s="24"/>
      <c r="SMX92" s="24"/>
      <c r="SMY92" s="24"/>
      <c r="SMZ92" s="24"/>
      <c r="SNA92" s="24"/>
      <c r="SNB92" s="24"/>
      <c r="SNC92" s="24"/>
      <c r="SND92" s="24"/>
      <c r="SNE92" s="24"/>
      <c r="SNF92" s="24"/>
      <c r="SNG92" s="24"/>
      <c r="SNH92" s="24"/>
      <c r="SNI92" s="24"/>
      <c r="SNJ92" s="24"/>
      <c r="SNK92" s="24"/>
      <c r="SNL92" s="24"/>
      <c r="SNM92" s="24"/>
      <c r="SNN92" s="24"/>
      <c r="SNO92" s="24"/>
      <c r="SNP92" s="24"/>
      <c r="SNQ92" s="24"/>
      <c r="SNR92" s="24"/>
      <c r="SNS92" s="24"/>
      <c r="SNT92" s="24"/>
      <c r="SNU92" s="24"/>
      <c r="SNV92" s="24"/>
      <c r="SNW92" s="24"/>
      <c r="SNX92" s="24"/>
      <c r="SNY92" s="24"/>
      <c r="SNZ92" s="24"/>
      <c r="SOA92" s="24"/>
      <c r="SOB92" s="24"/>
      <c r="SOC92" s="24"/>
      <c r="SOD92" s="24"/>
      <c r="SOE92" s="24"/>
      <c r="SOF92" s="24"/>
      <c r="SOG92" s="24"/>
      <c r="SOH92" s="24"/>
      <c r="SOI92" s="24"/>
      <c r="SOJ92" s="24"/>
      <c r="SOK92" s="24"/>
      <c r="SOL92" s="24"/>
      <c r="SOM92" s="24"/>
      <c r="SON92" s="24"/>
      <c r="SOO92" s="24"/>
      <c r="SOP92" s="24"/>
      <c r="SOQ92" s="24"/>
      <c r="SOR92" s="24"/>
      <c r="SOS92" s="24"/>
      <c r="SOT92" s="24"/>
      <c r="SOU92" s="24"/>
      <c r="SOV92" s="24"/>
      <c r="SOW92" s="24"/>
      <c r="SOX92" s="24"/>
      <c r="SOY92" s="24"/>
      <c r="SOZ92" s="24"/>
      <c r="SPA92" s="24"/>
      <c r="SPB92" s="24"/>
      <c r="SPC92" s="24"/>
      <c r="SPD92" s="24"/>
      <c r="SPE92" s="24"/>
      <c r="SPF92" s="24"/>
      <c r="SPG92" s="24"/>
      <c r="SPH92" s="24"/>
      <c r="SPI92" s="24"/>
      <c r="SPJ92" s="24"/>
      <c r="SPK92" s="24"/>
      <c r="SPL92" s="24"/>
      <c r="SPM92" s="24"/>
      <c r="SPN92" s="24"/>
      <c r="SPO92" s="24"/>
      <c r="SPP92" s="24"/>
      <c r="SPQ92" s="24"/>
      <c r="SPR92" s="24"/>
      <c r="SPS92" s="24"/>
      <c r="SPT92" s="24"/>
      <c r="SPU92" s="24"/>
      <c r="SPV92" s="24"/>
      <c r="SPW92" s="24"/>
      <c r="SPX92" s="24"/>
      <c r="SPY92" s="24"/>
      <c r="SPZ92" s="24"/>
      <c r="SQA92" s="24"/>
      <c r="SQB92" s="24"/>
      <c r="SQC92" s="24"/>
      <c r="SQD92" s="24"/>
      <c r="SQE92" s="24"/>
      <c r="SQF92" s="24"/>
      <c r="SQG92" s="24"/>
      <c r="SQH92" s="24"/>
      <c r="SQI92" s="24"/>
      <c r="SQJ92" s="24"/>
      <c r="SQK92" s="24"/>
      <c r="SQL92" s="24"/>
      <c r="SQM92" s="24"/>
      <c r="SQN92" s="24"/>
      <c r="SQO92" s="24"/>
      <c r="SQP92" s="24"/>
      <c r="SQQ92" s="24"/>
      <c r="SQR92" s="24"/>
      <c r="SQS92" s="24"/>
      <c r="SQT92" s="24"/>
      <c r="SQU92" s="24"/>
      <c r="SQV92" s="24"/>
      <c r="SQW92" s="24"/>
      <c r="SQX92" s="24"/>
      <c r="SQY92" s="24"/>
      <c r="SQZ92" s="24"/>
      <c r="SRA92" s="24"/>
      <c r="SRB92" s="24"/>
      <c r="SRC92" s="24"/>
      <c r="SRD92" s="24"/>
      <c r="SRE92" s="24"/>
      <c r="SRF92" s="24"/>
      <c r="SRG92" s="24"/>
      <c r="SRH92" s="24"/>
      <c r="SRI92" s="24"/>
      <c r="SRJ92" s="24"/>
      <c r="SRK92" s="24"/>
      <c r="SRL92" s="24"/>
      <c r="SRM92" s="24"/>
      <c r="SRN92" s="24"/>
      <c r="SRO92" s="24"/>
      <c r="SRP92" s="24"/>
      <c r="SRQ92" s="24"/>
      <c r="SRR92" s="24"/>
      <c r="SRS92" s="24"/>
      <c r="SRT92" s="24"/>
      <c r="SRU92" s="24"/>
      <c r="SRV92" s="24"/>
      <c r="SRW92" s="24"/>
      <c r="SRX92" s="24"/>
      <c r="SRY92" s="24"/>
      <c r="SRZ92" s="24"/>
      <c r="SSA92" s="24"/>
      <c r="SSB92" s="24"/>
      <c r="SSC92" s="24"/>
      <c r="SSD92" s="24"/>
      <c r="SSE92" s="24"/>
      <c r="SSF92" s="24"/>
      <c r="SSG92" s="24"/>
      <c r="SSH92" s="24"/>
      <c r="SSI92" s="24"/>
      <c r="SSJ92" s="24"/>
      <c r="SSK92" s="24"/>
      <c r="SSL92" s="24"/>
      <c r="SSM92" s="24"/>
      <c r="SSN92" s="24"/>
      <c r="SSO92" s="24"/>
      <c r="SSP92" s="24"/>
      <c r="SSQ92" s="24"/>
      <c r="SSR92" s="24"/>
      <c r="SSS92" s="24"/>
      <c r="SST92" s="24"/>
      <c r="SSU92" s="24"/>
      <c r="SSV92" s="24"/>
      <c r="SSW92" s="24"/>
      <c r="SSX92" s="24"/>
      <c r="SSY92" s="24"/>
      <c r="SSZ92" s="24"/>
      <c r="STA92" s="24"/>
      <c r="STB92" s="24"/>
      <c r="STC92" s="24"/>
      <c r="STD92" s="24"/>
      <c r="STE92" s="24"/>
      <c r="STF92" s="24"/>
      <c r="STG92" s="24"/>
      <c r="STH92" s="24"/>
      <c r="STI92" s="24"/>
      <c r="STJ92" s="24"/>
      <c r="STK92" s="24"/>
      <c r="STL92" s="24"/>
      <c r="STM92" s="24"/>
      <c r="STN92" s="24"/>
      <c r="STO92" s="24"/>
      <c r="STP92" s="24"/>
      <c r="STQ92" s="24"/>
      <c r="STR92" s="24"/>
      <c r="STS92" s="24"/>
      <c r="STT92" s="24"/>
      <c r="STU92" s="24"/>
      <c r="STV92" s="24"/>
      <c r="STW92" s="24"/>
      <c r="STX92" s="24"/>
      <c r="STY92" s="24"/>
      <c r="STZ92" s="24"/>
      <c r="SUA92" s="24"/>
      <c r="SUB92" s="24"/>
      <c r="SUC92" s="24"/>
      <c r="SUD92" s="24"/>
      <c r="SUE92" s="24"/>
      <c r="SUF92" s="24"/>
      <c r="SUG92" s="24"/>
      <c r="SUH92" s="24"/>
      <c r="SUI92" s="24"/>
      <c r="SUJ92" s="24"/>
      <c r="SUK92" s="24"/>
      <c r="SUL92" s="24"/>
      <c r="SUM92" s="24"/>
      <c r="SUN92" s="24"/>
      <c r="SUO92" s="24"/>
      <c r="SUP92" s="24"/>
      <c r="SUQ92" s="24"/>
      <c r="SUR92" s="24"/>
      <c r="SUS92" s="24"/>
      <c r="SUT92" s="24"/>
      <c r="SUU92" s="24"/>
      <c r="SUV92" s="24"/>
      <c r="SUW92" s="24"/>
      <c r="SUX92" s="24"/>
      <c r="SUY92" s="24"/>
      <c r="SUZ92" s="24"/>
      <c r="SVA92" s="24"/>
      <c r="SVB92" s="24"/>
      <c r="SVC92" s="24"/>
      <c r="SVD92" s="24"/>
      <c r="SVE92" s="24"/>
      <c r="SVF92" s="24"/>
      <c r="SVG92" s="24"/>
      <c r="SVH92" s="24"/>
      <c r="SVI92" s="24"/>
      <c r="SVJ92" s="24"/>
      <c r="SVK92" s="24"/>
      <c r="SVL92" s="24"/>
      <c r="SVM92" s="24"/>
      <c r="SVN92" s="24"/>
      <c r="SVO92" s="24"/>
      <c r="SVP92" s="24"/>
      <c r="SVQ92" s="24"/>
      <c r="SVR92" s="24"/>
      <c r="SVS92" s="24"/>
      <c r="SVT92" s="24"/>
      <c r="SVU92" s="24"/>
      <c r="SVV92" s="24"/>
      <c r="SVW92" s="24"/>
      <c r="SVX92" s="24"/>
      <c r="SVY92" s="24"/>
      <c r="SVZ92" s="24"/>
      <c r="SWA92" s="24"/>
      <c r="SWB92" s="24"/>
      <c r="SWC92" s="24"/>
      <c r="SWD92" s="24"/>
      <c r="SWE92" s="24"/>
      <c r="SWF92" s="24"/>
      <c r="SWG92" s="24"/>
      <c r="SWH92" s="24"/>
      <c r="SWI92" s="24"/>
      <c r="SWJ92" s="24"/>
      <c r="SWK92" s="24"/>
      <c r="SWL92" s="24"/>
      <c r="SWM92" s="24"/>
      <c r="SWN92" s="24"/>
      <c r="SWO92" s="24"/>
      <c r="SWP92" s="24"/>
      <c r="SWQ92" s="24"/>
      <c r="SWR92" s="24"/>
      <c r="SWS92" s="24"/>
      <c r="SWT92" s="24"/>
      <c r="SWU92" s="24"/>
      <c r="SWV92" s="24"/>
      <c r="SWW92" s="24"/>
      <c r="SWX92" s="24"/>
      <c r="SWY92" s="24"/>
      <c r="SWZ92" s="24"/>
      <c r="SXA92" s="24"/>
      <c r="SXB92" s="24"/>
      <c r="SXC92" s="24"/>
      <c r="SXD92" s="24"/>
      <c r="SXE92" s="24"/>
      <c r="SXF92" s="24"/>
      <c r="SXG92" s="24"/>
      <c r="SXH92" s="24"/>
      <c r="SXI92" s="24"/>
      <c r="SXJ92" s="24"/>
      <c r="SXK92" s="24"/>
      <c r="SXL92" s="24"/>
      <c r="SXM92" s="24"/>
      <c r="SXN92" s="24"/>
      <c r="SXO92" s="24"/>
      <c r="SXP92" s="24"/>
      <c r="SXQ92" s="24"/>
      <c r="SXR92" s="24"/>
      <c r="SXS92" s="24"/>
      <c r="SXT92" s="24"/>
      <c r="SXU92" s="24"/>
      <c r="SXV92" s="24"/>
      <c r="SXW92" s="24"/>
      <c r="SXX92" s="24"/>
      <c r="SXY92" s="24"/>
      <c r="SXZ92" s="24"/>
      <c r="SYA92" s="24"/>
      <c r="SYB92" s="24"/>
      <c r="SYC92" s="24"/>
      <c r="SYD92" s="24"/>
      <c r="SYE92" s="24"/>
      <c r="SYF92" s="24"/>
      <c r="SYG92" s="24"/>
      <c r="SYH92" s="24"/>
      <c r="SYI92" s="24"/>
      <c r="SYJ92" s="24"/>
      <c r="SYK92" s="24"/>
      <c r="SYL92" s="24"/>
      <c r="SYM92" s="24"/>
      <c r="SYN92" s="24"/>
      <c r="SYO92" s="24"/>
      <c r="SYP92" s="24"/>
      <c r="SYQ92" s="24"/>
      <c r="SYR92" s="24"/>
      <c r="SYS92" s="24"/>
      <c r="SYT92" s="24"/>
      <c r="SYU92" s="24"/>
      <c r="SYV92" s="24"/>
      <c r="SYW92" s="24"/>
      <c r="SYX92" s="24"/>
      <c r="SYY92" s="24"/>
      <c r="SYZ92" s="24"/>
      <c r="SZA92" s="24"/>
      <c r="SZB92" s="24"/>
      <c r="SZC92" s="24"/>
      <c r="SZD92" s="24"/>
      <c r="SZE92" s="24"/>
      <c r="SZF92" s="24"/>
      <c r="SZG92" s="24"/>
      <c r="SZH92" s="24"/>
      <c r="SZI92" s="24"/>
      <c r="SZJ92" s="24"/>
      <c r="SZK92" s="24"/>
      <c r="SZL92" s="24"/>
      <c r="SZM92" s="24"/>
      <c r="SZN92" s="24"/>
      <c r="SZO92" s="24"/>
      <c r="SZP92" s="24"/>
      <c r="SZQ92" s="24"/>
      <c r="SZR92" s="24"/>
      <c r="SZS92" s="24"/>
      <c r="SZT92" s="24"/>
      <c r="SZU92" s="24"/>
      <c r="SZV92" s="24"/>
      <c r="SZW92" s="24"/>
      <c r="SZX92" s="24"/>
      <c r="SZY92" s="24"/>
      <c r="SZZ92" s="24"/>
      <c r="TAA92" s="24"/>
      <c r="TAB92" s="24"/>
      <c r="TAC92" s="24"/>
      <c r="TAD92" s="24"/>
      <c r="TAE92" s="24"/>
      <c r="TAF92" s="24"/>
      <c r="TAG92" s="24"/>
      <c r="TAH92" s="24"/>
      <c r="TAI92" s="24"/>
      <c r="TAJ92" s="24"/>
      <c r="TAK92" s="24"/>
      <c r="TAL92" s="24"/>
      <c r="TAM92" s="24"/>
      <c r="TAN92" s="24"/>
      <c r="TAO92" s="24"/>
      <c r="TAP92" s="24"/>
      <c r="TAQ92" s="24"/>
      <c r="TAR92" s="24"/>
      <c r="TAS92" s="24"/>
      <c r="TAT92" s="24"/>
      <c r="TAU92" s="24"/>
      <c r="TAV92" s="24"/>
      <c r="TAW92" s="24"/>
      <c r="TAX92" s="24"/>
      <c r="TAY92" s="24"/>
      <c r="TAZ92" s="24"/>
      <c r="TBA92" s="24"/>
      <c r="TBB92" s="24"/>
      <c r="TBC92" s="24"/>
      <c r="TBD92" s="24"/>
      <c r="TBE92" s="24"/>
      <c r="TBF92" s="24"/>
      <c r="TBG92" s="24"/>
      <c r="TBH92" s="24"/>
      <c r="TBI92" s="24"/>
      <c r="TBJ92" s="24"/>
      <c r="TBK92" s="24"/>
      <c r="TBL92" s="24"/>
      <c r="TBM92" s="24"/>
      <c r="TBN92" s="24"/>
      <c r="TBO92" s="24"/>
      <c r="TBP92" s="24"/>
      <c r="TBQ92" s="24"/>
      <c r="TBR92" s="24"/>
      <c r="TBS92" s="24"/>
      <c r="TBT92" s="24"/>
      <c r="TBU92" s="24"/>
      <c r="TBV92" s="24"/>
      <c r="TBW92" s="24"/>
      <c r="TBX92" s="24"/>
      <c r="TBY92" s="24"/>
      <c r="TBZ92" s="24"/>
      <c r="TCA92" s="24"/>
      <c r="TCB92" s="24"/>
      <c r="TCC92" s="24"/>
      <c r="TCD92" s="24"/>
      <c r="TCE92" s="24"/>
      <c r="TCF92" s="24"/>
      <c r="TCG92" s="24"/>
      <c r="TCH92" s="24"/>
      <c r="TCI92" s="24"/>
      <c r="TCJ92" s="24"/>
      <c r="TCK92" s="24"/>
      <c r="TCL92" s="24"/>
      <c r="TCM92" s="24"/>
      <c r="TCN92" s="24"/>
      <c r="TCO92" s="24"/>
      <c r="TCP92" s="24"/>
      <c r="TCQ92" s="24"/>
      <c r="TCR92" s="24"/>
      <c r="TCS92" s="24"/>
      <c r="TCT92" s="24"/>
      <c r="TCU92" s="24"/>
      <c r="TCV92" s="24"/>
      <c r="TCW92" s="24"/>
      <c r="TCX92" s="24"/>
      <c r="TCY92" s="24"/>
      <c r="TCZ92" s="24"/>
      <c r="TDA92" s="24"/>
      <c r="TDB92" s="24"/>
      <c r="TDC92" s="24"/>
      <c r="TDD92" s="24"/>
      <c r="TDE92" s="24"/>
      <c r="TDF92" s="24"/>
      <c r="TDG92" s="24"/>
      <c r="TDH92" s="24"/>
      <c r="TDI92" s="24"/>
      <c r="TDJ92" s="24"/>
      <c r="TDK92" s="24"/>
      <c r="TDL92" s="24"/>
      <c r="TDM92" s="24"/>
      <c r="TDN92" s="24"/>
      <c r="TDO92" s="24"/>
      <c r="TDP92" s="24"/>
      <c r="TDQ92" s="24"/>
      <c r="TDR92" s="24"/>
      <c r="TDS92" s="24"/>
      <c r="TDT92" s="24"/>
      <c r="TDU92" s="24"/>
      <c r="TDV92" s="24"/>
      <c r="TDW92" s="24"/>
      <c r="TDX92" s="24"/>
      <c r="TDY92" s="24"/>
      <c r="TDZ92" s="24"/>
      <c r="TEA92" s="24"/>
      <c r="TEB92" s="24"/>
      <c r="TEC92" s="24"/>
      <c r="TED92" s="24"/>
      <c r="TEE92" s="24"/>
      <c r="TEF92" s="24"/>
      <c r="TEG92" s="24"/>
      <c r="TEH92" s="24"/>
      <c r="TEI92" s="24"/>
      <c r="TEJ92" s="24"/>
      <c r="TEK92" s="24"/>
      <c r="TEL92" s="24"/>
      <c r="TEM92" s="24"/>
      <c r="TEN92" s="24"/>
      <c r="TEO92" s="24"/>
      <c r="TEP92" s="24"/>
      <c r="TEQ92" s="24"/>
      <c r="TER92" s="24"/>
      <c r="TES92" s="24"/>
      <c r="TET92" s="24"/>
      <c r="TEU92" s="24"/>
      <c r="TEV92" s="24"/>
      <c r="TEW92" s="24"/>
      <c r="TEX92" s="24"/>
      <c r="TEY92" s="24"/>
      <c r="TEZ92" s="24"/>
      <c r="TFA92" s="24"/>
      <c r="TFB92" s="24"/>
      <c r="TFC92" s="24"/>
      <c r="TFD92" s="24"/>
      <c r="TFE92" s="24"/>
      <c r="TFF92" s="24"/>
      <c r="TFG92" s="24"/>
      <c r="TFH92" s="24"/>
      <c r="TFI92" s="24"/>
      <c r="TFJ92" s="24"/>
      <c r="TFK92" s="24"/>
      <c r="TFL92" s="24"/>
      <c r="TFM92" s="24"/>
      <c r="TFN92" s="24"/>
      <c r="TFO92" s="24"/>
      <c r="TFP92" s="24"/>
      <c r="TFQ92" s="24"/>
      <c r="TFR92" s="24"/>
      <c r="TFS92" s="24"/>
      <c r="TFT92" s="24"/>
      <c r="TFU92" s="24"/>
      <c r="TFV92" s="24"/>
      <c r="TFW92" s="24"/>
      <c r="TFX92" s="24"/>
      <c r="TFY92" s="24"/>
      <c r="TFZ92" s="24"/>
      <c r="TGA92" s="24"/>
      <c r="TGB92" s="24"/>
      <c r="TGC92" s="24"/>
      <c r="TGD92" s="24"/>
      <c r="TGE92" s="24"/>
      <c r="TGF92" s="24"/>
      <c r="TGG92" s="24"/>
      <c r="TGH92" s="24"/>
      <c r="TGI92" s="24"/>
      <c r="TGJ92" s="24"/>
      <c r="TGK92" s="24"/>
      <c r="TGL92" s="24"/>
      <c r="TGM92" s="24"/>
      <c r="TGN92" s="24"/>
      <c r="TGO92" s="24"/>
      <c r="TGP92" s="24"/>
      <c r="TGQ92" s="24"/>
      <c r="TGR92" s="24"/>
      <c r="TGS92" s="24"/>
      <c r="TGT92" s="24"/>
      <c r="TGU92" s="24"/>
      <c r="TGV92" s="24"/>
      <c r="TGW92" s="24"/>
      <c r="TGX92" s="24"/>
      <c r="TGY92" s="24"/>
      <c r="TGZ92" s="24"/>
      <c r="THA92" s="24"/>
      <c r="THB92" s="24"/>
      <c r="THC92" s="24"/>
      <c r="THD92" s="24"/>
      <c r="THE92" s="24"/>
      <c r="THF92" s="24"/>
      <c r="THG92" s="24"/>
      <c r="THH92" s="24"/>
      <c r="THI92" s="24"/>
      <c r="THJ92" s="24"/>
      <c r="THK92" s="24"/>
      <c r="THL92" s="24"/>
      <c r="THM92" s="24"/>
      <c r="THN92" s="24"/>
      <c r="THO92" s="24"/>
      <c r="THP92" s="24"/>
      <c r="THQ92" s="24"/>
      <c r="THR92" s="24"/>
      <c r="THS92" s="24"/>
      <c r="THT92" s="24"/>
      <c r="THU92" s="24"/>
      <c r="THV92" s="24"/>
      <c r="THW92" s="24"/>
      <c r="THX92" s="24"/>
      <c r="THY92" s="24"/>
      <c r="THZ92" s="24"/>
      <c r="TIA92" s="24"/>
      <c r="TIB92" s="24"/>
      <c r="TIC92" s="24"/>
      <c r="TID92" s="24"/>
      <c r="TIE92" s="24"/>
      <c r="TIF92" s="24"/>
      <c r="TIG92" s="24"/>
      <c r="TIH92" s="24"/>
      <c r="TII92" s="24"/>
      <c r="TIJ92" s="24"/>
      <c r="TIK92" s="24"/>
      <c r="TIL92" s="24"/>
      <c r="TIM92" s="24"/>
      <c r="TIN92" s="24"/>
      <c r="TIO92" s="24"/>
      <c r="TIP92" s="24"/>
      <c r="TIQ92" s="24"/>
      <c r="TIR92" s="24"/>
      <c r="TIS92" s="24"/>
      <c r="TIT92" s="24"/>
      <c r="TIU92" s="24"/>
      <c r="TIV92" s="24"/>
      <c r="TIW92" s="24"/>
      <c r="TIX92" s="24"/>
      <c r="TIY92" s="24"/>
      <c r="TIZ92" s="24"/>
      <c r="TJA92" s="24"/>
      <c r="TJB92" s="24"/>
      <c r="TJC92" s="24"/>
      <c r="TJD92" s="24"/>
      <c r="TJE92" s="24"/>
      <c r="TJF92" s="24"/>
      <c r="TJG92" s="24"/>
      <c r="TJH92" s="24"/>
      <c r="TJI92" s="24"/>
      <c r="TJJ92" s="24"/>
      <c r="TJK92" s="24"/>
      <c r="TJL92" s="24"/>
      <c r="TJM92" s="24"/>
      <c r="TJN92" s="24"/>
      <c r="TJO92" s="24"/>
      <c r="TJP92" s="24"/>
      <c r="TJQ92" s="24"/>
      <c r="TJR92" s="24"/>
      <c r="TJS92" s="24"/>
      <c r="TJT92" s="24"/>
      <c r="TJU92" s="24"/>
      <c r="TJV92" s="24"/>
      <c r="TJW92" s="24"/>
      <c r="TJX92" s="24"/>
      <c r="TJY92" s="24"/>
      <c r="TJZ92" s="24"/>
      <c r="TKA92" s="24"/>
      <c r="TKB92" s="24"/>
      <c r="TKC92" s="24"/>
      <c r="TKD92" s="24"/>
      <c r="TKE92" s="24"/>
      <c r="TKF92" s="24"/>
      <c r="TKG92" s="24"/>
      <c r="TKH92" s="24"/>
      <c r="TKI92" s="24"/>
      <c r="TKJ92" s="24"/>
      <c r="TKK92" s="24"/>
      <c r="TKL92" s="24"/>
      <c r="TKM92" s="24"/>
      <c r="TKN92" s="24"/>
      <c r="TKO92" s="24"/>
      <c r="TKP92" s="24"/>
      <c r="TKQ92" s="24"/>
      <c r="TKR92" s="24"/>
      <c r="TKS92" s="24"/>
      <c r="TKT92" s="24"/>
      <c r="TKU92" s="24"/>
      <c r="TKV92" s="24"/>
      <c r="TKW92" s="24"/>
      <c r="TKX92" s="24"/>
      <c r="TKY92" s="24"/>
      <c r="TKZ92" s="24"/>
      <c r="TLA92" s="24"/>
      <c r="TLB92" s="24"/>
      <c r="TLC92" s="24"/>
      <c r="TLD92" s="24"/>
      <c r="TLE92" s="24"/>
      <c r="TLF92" s="24"/>
      <c r="TLG92" s="24"/>
      <c r="TLH92" s="24"/>
      <c r="TLI92" s="24"/>
      <c r="TLJ92" s="24"/>
      <c r="TLK92" s="24"/>
      <c r="TLL92" s="24"/>
      <c r="TLM92" s="24"/>
      <c r="TLN92" s="24"/>
      <c r="TLO92" s="24"/>
      <c r="TLP92" s="24"/>
      <c r="TLQ92" s="24"/>
      <c r="TLR92" s="24"/>
      <c r="TLS92" s="24"/>
      <c r="TLT92" s="24"/>
      <c r="TLU92" s="24"/>
      <c r="TLV92" s="24"/>
      <c r="TLW92" s="24"/>
      <c r="TLX92" s="24"/>
      <c r="TLY92" s="24"/>
      <c r="TLZ92" s="24"/>
      <c r="TMA92" s="24"/>
      <c r="TMB92" s="24"/>
      <c r="TMC92" s="24"/>
      <c r="TMD92" s="24"/>
      <c r="TME92" s="24"/>
      <c r="TMF92" s="24"/>
      <c r="TMG92" s="24"/>
      <c r="TMH92" s="24"/>
      <c r="TMI92" s="24"/>
      <c r="TMJ92" s="24"/>
      <c r="TMK92" s="24"/>
      <c r="TML92" s="24"/>
      <c r="TMM92" s="24"/>
      <c r="TMN92" s="24"/>
      <c r="TMO92" s="24"/>
      <c r="TMP92" s="24"/>
      <c r="TMQ92" s="24"/>
      <c r="TMR92" s="24"/>
      <c r="TMS92" s="24"/>
      <c r="TMT92" s="24"/>
      <c r="TMU92" s="24"/>
      <c r="TMV92" s="24"/>
      <c r="TMW92" s="24"/>
      <c r="TMX92" s="24"/>
      <c r="TMY92" s="24"/>
      <c r="TMZ92" s="24"/>
      <c r="TNA92" s="24"/>
      <c r="TNB92" s="24"/>
      <c r="TNC92" s="24"/>
      <c r="TND92" s="24"/>
      <c r="TNE92" s="24"/>
      <c r="TNF92" s="24"/>
      <c r="TNG92" s="24"/>
      <c r="TNH92" s="24"/>
      <c r="TNI92" s="24"/>
      <c r="TNJ92" s="24"/>
      <c r="TNK92" s="24"/>
      <c r="TNL92" s="24"/>
      <c r="TNM92" s="24"/>
      <c r="TNN92" s="24"/>
      <c r="TNO92" s="24"/>
      <c r="TNP92" s="24"/>
      <c r="TNQ92" s="24"/>
      <c r="TNR92" s="24"/>
      <c r="TNS92" s="24"/>
      <c r="TNT92" s="24"/>
      <c r="TNU92" s="24"/>
      <c r="TNV92" s="24"/>
      <c r="TNW92" s="24"/>
      <c r="TNX92" s="24"/>
      <c r="TNY92" s="24"/>
      <c r="TNZ92" s="24"/>
      <c r="TOA92" s="24"/>
      <c r="TOB92" s="24"/>
      <c r="TOC92" s="24"/>
      <c r="TOD92" s="24"/>
      <c r="TOE92" s="24"/>
      <c r="TOF92" s="24"/>
      <c r="TOG92" s="24"/>
      <c r="TOH92" s="24"/>
      <c r="TOI92" s="24"/>
      <c r="TOJ92" s="24"/>
      <c r="TOK92" s="24"/>
      <c r="TOL92" s="24"/>
      <c r="TOM92" s="24"/>
      <c r="TON92" s="24"/>
      <c r="TOO92" s="24"/>
      <c r="TOP92" s="24"/>
      <c r="TOQ92" s="24"/>
      <c r="TOR92" s="24"/>
      <c r="TOS92" s="24"/>
      <c r="TOT92" s="24"/>
      <c r="TOU92" s="24"/>
      <c r="TOV92" s="24"/>
      <c r="TOW92" s="24"/>
      <c r="TOX92" s="24"/>
      <c r="TOY92" s="24"/>
      <c r="TOZ92" s="24"/>
      <c r="TPA92" s="24"/>
      <c r="TPB92" s="24"/>
      <c r="TPC92" s="24"/>
      <c r="TPD92" s="24"/>
      <c r="TPE92" s="24"/>
      <c r="TPF92" s="24"/>
      <c r="TPG92" s="24"/>
      <c r="TPH92" s="24"/>
      <c r="TPI92" s="24"/>
      <c r="TPJ92" s="24"/>
      <c r="TPK92" s="24"/>
      <c r="TPL92" s="24"/>
      <c r="TPM92" s="24"/>
      <c r="TPN92" s="24"/>
      <c r="TPO92" s="24"/>
      <c r="TPP92" s="24"/>
      <c r="TPQ92" s="24"/>
      <c r="TPR92" s="24"/>
      <c r="TPS92" s="24"/>
      <c r="TPT92" s="24"/>
      <c r="TPU92" s="24"/>
      <c r="TPV92" s="24"/>
      <c r="TPW92" s="24"/>
      <c r="TPX92" s="24"/>
      <c r="TPY92" s="24"/>
      <c r="TPZ92" s="24"/>
      <c r="TQA92" s="24"/>
      <c r="TQB92" s="24"/>
      <c r="TQC92" s="24"/>
      <c r="TQD92" s="24"/>
      <c r="TQE92" s="24"/>
      <c r="TQF92" s="24"/>
      <c r="TQG92" s="24"/>
      <c r="TQH92" s="24"/>
      <c r="TQI92" s="24"/>
      <c r="TQJ92" s="24"/>
      <c r="TQK92" s="24"/>
      <c r="TQL92" s="24"/>
      <c r="TQM92" s="24"/>
      <c r="TQN92" s="24"/>
      <c r="TQO92" s="24"/>
      <c r="TQP92" s="24"/>
      <c r="TQQ92" s="24"/>
      <c r="TQR92" s="24"/>
      <c r="TQS92" s="24"/>
      <c r="TQT92" s="24"/>
      <c r="TQU92" s="24"/>
      <c r="TQV92" s="24"/>
      <c r="TQW92" s="24"/>
      <c r="TQX92" s="24"/>
      <c r="TQY92" s="24"/>
      <c r="TQZ92" s="24"/>
      <c r="TRA92" s="24"/>
      <c r="TRB92" s="24"/>
      <c r="TRC92" s="24"/>
      <c r="TRD92" s="24"/>
      <c r="TRE92" s="24"/>
      <c r="TRF92" s="24"/>
      <c r="TRG92" s="24"/>
      <c r="TRH92" s="24"/>
      <c r="TRI92" s="24"/>
      <c r="TRJ92" s="24"/>
      <c r="TRK92" s="24"/>
      <c r="TRL92" s="24"/>
      <c r="TRM92" s="24"/>
      <c r="TRN92" s="24"/>
      <c r="TRO92" s="24"/>
      <c r="TRP92" s="24"/>
      <c r="TRQ92" s="24"/>
      <c r="TRR92" s="24"/>
      <c r="TRS92" s="24"/>
      <c r="TRT92" s="24"/>
      <c r="TRU92" s="24"/>
      <c r="TRV92" s="24"/>
      <c r="TRW92" s="24"/>
      <c r="TRX92" s="24"/>
      <c r="TRY92" s="24"/>
      <c r="TRZ92" s="24"/>
      <c r="TSA92" s="24"/>
      <c r="TSB92" s="24"/>
      <c r="TSC92" s="24"/>
      <c r="TSD92" s="24"/>
      <c r="TSE92" s="24"/>
      <c r="TSF92" s="24"/>
      <c r="TSG92" s="24"/>
      <c r="TSH92" s="24"/>
      <c r="TSI92" s="24"/>
      <c r="TSJ92" s="24"/>
      <c r="TSK92" s="24"/>
      <c r="TSL92" s="24"/>
      <c r="TSM92" s="24"/>
      <c r="TSN92" s="24"/>
      <c r="TSO92" s="24"/>
      <c r="TSP92" s="24"/>
      <c r="TSQ92" s="24"/>
      <c r="TSR92" s="24"/>
      <c r="TSS92" s="24"/>
      <c r="TST92" s="24"/>
      <c r="TSU92" s="24"/>
      <c r="TSV92" s="24"/>
      <c r="TSW92" s="24"/>
      <c r="TSX92" s="24"/>
      <c r="TSY92" s="24"/>
      <c r="TSZ92" s="24"/>
      <c r="TTA92" s="24"/>
      <c r="TTB92" s="24"/>
      <c r="TTC92" s="24"/>
      <c r="TTD92" s="24"/>
      <c r="TTE92" s="24"/>
      <c r="TTF92" s="24"/>
      <c r="TTG92" s="24"/>
      <c r="TTH92" s="24"/>
      <c r="TTI92" s="24"/>
      <c r="TTJ92" s="24"/>
      <c r="TTK92" s="24"/>
      <c r="TTL92" s="24"/>
      <c r="TTM92" s="24"/>
      <c r="TTN92" s="24"/>
      <c r="TTO92" s="24"/>
      <c r="TTP92" s="24"/>
      <c r="TTQ92" s="24"/>
      <c r="TTR92" s="24"/>
      <c r="TTS92" s="24"/>
      <c r="TTT92" s="24"/>
      <c r="TTU92" s="24"/>
      <c r="TTV92" s="24"/>
      <c r="TTW92" s="24"/>
      <c r="TTX92" s="24"/>
      <c r="TTY92" s="24"/>
      <c r="TTZ92" s="24"/>
      <c r="TUA92" s="24"/>
      <c r="TUB92" s="24"/>
      <c r="TUC92" s="24"/>
      <c r="TUD92" s="24"/>
      <c r="TUE92" s="24"/>
      <c r="TUF92" s="24"/>
      <c r="TUG92" s="24"/>
      <c r="TUH92" s="24"/>
      <c r="TUI92" s="24"/>
      <c r="TUJ92" s="24"/>
      <c r="TUK92" s="24"/>
      <c r="TUL92" s="24"/>
      <c r="TUM92" s="24"/>
      <c r="TUN92" s="24"/>
      <c r="TUO92" s="24"/>
      <c r="TUP92" s="24"/>
      <c r="TUQ92" s="24"/>
      <c r="TUR92" s="24"/>
      <c r="TUS92" s="24"/>
      <c r="TUT92" s="24"/>
      <c r="TUU92" s="24"/>
      <c r="TUV92" s="24"/>
      <c r="TUW92" s="24"/>
      <c r="TUX92" s="24"/>
      <c r="TUY92" s="24"/>
      <c r="TUZ92" s="24"/>
      <c r="TVA92" s="24"/>
      <c r="TVB92" s="24"/>
      <c r="TVC92" s="24"/>
      <c r="TVD92" s="24"/>
      <c r="TVE92" s="24"/>
      <c r="TVF92" s="24"/>
      <c r="TVG92" s="24"/>
      <c r="TVH92" s="24"/>
      <c r="TVI92" s="24"/>
      <c r="TVJ92" s="24"/>
      <c r="TVK92" s="24"/>
      <c r="TVL92" s="24"/>
      <c r="TVM92" s="24"/>
      <c r="TVN92" s="24"/>
      <c r="TVO92" s="24"/>
      <c r="TVP92" s="24"/>
      <c r="TVQ92" s="24"/>
      <c r="TVR92" s="24"/>
      <c r="TVS92" s="24"/>
      <c r="TVT92" s="24"/>
      <c r="TVU92" s="24"/>
      <c r="TVV92" s="24"/>
      <c r="TVW92" s="24"/>
      <c r="TVX92" s="24"/>
      <c r="TVY92" s="24"/>
      <c r="TVZ92" s="24"/>
      <c r="TWA92" s="24"/>
      <c r="TWB92" s="24"/>
      <c r="TWC92" s="24"/>
      <c r="TWD92" s="24"/>
      <c r="TWE92" s="24"/>
      <c r="TWF92" s="24"/>
      <c r="TWG92" s="24"/>
      <c r="TWH92" s="24"/>
      <c r="TWI92" s="24"/>
      <c r="TWJ92" s="24"/>
      <c r="TWK92" s="24"/>
      <c r="TWL92" s="24"/>
      <c r="TWM92" s="24"/>
      <c r="TWN92" s="24"/>
      <c r="TWO92" s="24"/>
      <c r="TWP92" s="24"/>
      <c r="TWQ92" s="24"/>
      <c r="TWR92" s="24"/>
      <c r="TWS92" s="24"/>
      <c r="TWT92" s="24"/>
      <c r="TWU92" s="24"/>
      <c r="TWV92" s="24"/>
      <c r="TWW92" s="24"/>
      <c r="TWX92" s="24"/>
      <c r="TWY92" s="24"/>
      <c r="TWZ92" s="24"/>
      <c r="TXA92" s="24"/>
      <c r="TXB92" s="24"/>
      <c r="TXC92" s="24"/>
      <c r="TXD92" s="24"/>
      <c r="TXE92" s="24"/>
      <c r="TXF92" s="24"/>
      <c r="TXG92" s="24"/>
      <c r="TXH92" s="24"/>
      <c r="TXI92" s="24"/>
      <c r="TXJ92" s="24"/>
      <c r="TXK92" s="24"/>
      <c r="TXL92" s="24"/>
      <c r="TXM92" s="24"/>
      <c r="TXN92" s="24"/>
      <c r="TXO92" s="24"/>
      <c r="TXP92" s="24"/>
      <c r="TXQ92" s="24"/>
      <c r="TXR92" s="24"/>
      <c r="TXS92" s="24"/>
      <c r="TXT92" s="24"/>
      <c r="TXU92" s="24"/>
      <c r="TXV92" s="24"/>
      <c r="TXW92" s="24"/>
      <c r="TXX92" s="24"/>
      <c r="TXY92" s="24"/>
      <c r="TXZ92" s="24"/>
      <c r="TYA92" s="24"/>
      <c r="TYB92" s="24"/>
      <c r="TYC92" s="24"/>
      <c r="TYD92" s="24"/>
      <c r="TYE92" s="24"/>
      <c r="TYF92" s="24"/>
      <c r="TYG92" s="24"/>
      <c r="TYH92" s="24"/>
      <c r="TYI92" s="24"/>
      <c r="TYJ92" s="24"/>
      <c r="TYK92" s="24"/>
      <c r="TYL92" s="24"/>
      <c r="TYM92" s="24"/>
      <c r="TYN92" s="24"/>
      <c r="TYO92" s="24"/>
      <c r="TYP92" s="24"/>
      <c r="TYQ92" s="24"/>
      <c r="TYR92" s="24"/>
      <c r="TYS92" s="24"/>
      <c r="TYT92" s="24"/>
      <c r="TYU92" s="24"/>
      <c r="TYV92" s="24"/>
      <c r="TYW92" s="24"/>
      <c r="TYX92" s="24"/>
      <c r="TYY92" s="24"/>
      <c r="TYZ92" s="24"/>
      <c r="TZA92" s="24"/>
      <c r="TZB92" s="24"/>
      <c r="TZC92" s="24"/>
      <c r="TZD92" s="24"/>
      <c r="TZE92" s="24"/>
      <c r="TZF92" s="24"/>
      <c r="TZG92" s="24"/>
      <c r="TZH92" s="24"/>
      <c r="TZI92" s="24"/>
      <c r="TZJ92" s="24"/>
      <c r="TZK92" s="24"/>
      <c r="TZL92" s="24"/>
      <c r="TZM92" s="24"/>
      <c r="TZN92" s="24"/>
      <c r="TZO92" s="24"/>
      <c r="TZP92" s="24"/>
      <c r="TZQ92" s="24"/>
      <c r="TZR92" s="24"/>
      <c r="TZS92" s="24"/>
      <c r="TZT92" s="24"/>
      <c r="TZU92" s="24"/>
      <c r="TZV92" s="24"/>
      <c r="TZW92" s="24"/>
      <c r="TZX92" s="24"/>
      <c r="TZY92" s="24"/>
      <c r="TZZ92" s="24"/>
      <c r="UAA92" s="24"/>
      <c r="UAB92" s="24"/>
      <c r="UAC92" s="24"/>
      <c r="UAD92" s="24"/>
      <c r="UAE92" s="24"/>
      <c r="UAF92" s="24"/>
      <c r="UAG92" s="24"/>
      <c r="UAH92" s="24"/>
      <c r="UAI92" s="24"/>
      <c r="UAJ92" s="24"/>
      <c r="UAK92" s="24"/>
      <c r="UAL92" s="24"/>
      <c r="UAM92" s="24"/>
      <c r="UAN92" s="24"/>
      <c r="UAO92" s="24"/>
      <c r="UAP92" s="24"/>
      <c r="UAQ92" s="24"/>
      <c r="UAR92" s="24"/>
      <c r="UAS92" s="24"/>
      <c r="UAT92" s="24"/>
      <c r="UAU92" s="24"/>
      <c r="UAV92" s="24"/>
      <c r="UAW92" s="24"/>
      <c r="UAX92" s="24"/>
      <c r="UAY92" s="24"/>
      <c r="UAZ92" s="24"/>
      <c r="UBA92" s="24"/>
      <c r="UBB92" s="24"/>
      <c r="UBC92" s="24"/>
      <c r="UBD92" s="24"/>
      <c r="UBE92" s="24"/>
      <c r="UBF92" s="24"/>
      <c r="UBG92" s="24"/>
      <c r="UBH92" s="24"/>
      <c r="UBI92" s="24"/>
      <c r="UBJ92" s="24"/>
      <c r="UBK92" s="24"/>
      <c r="UBL92" s="24"/>
      <c r="UBM92" s="24"/>
      <c r="UBN92" s="24"/>
      <c r="UBO92" s="24"/>
      <c r="UBP92" s="24"/>
      <c r="UBQ92" s="24"/>
      <c r="UBR92" s="24"/>
      <c r="UBS92" s="24"/>
      <c r="UBT92" s="24"/>
      <c r="UBU92" s="24"/>
      <c r="UBV92" s="24"/>
      <c r="UBW92" s="24"/>
      <c r="UBX92" s="24"/>
      <c r="UBY92" s="24"/>
      <c r="UBZ92" s="24"/>
      <c r="UCA92" s="24"/>
      <c r="UCB92" s="24"/>
      <c r="UCC92" s="24"/>
      <c r="UCD92" s="24"/>
      <c r="UCE92" s="24"/>
      <c r="UCF92" s="24"/>
      <c r="UCG92" s="24"/>
      <c r="UCH92" s="24"/>
      <c r="UCI92" s="24"/>
      <c r="UCJ92" s="24"/>
      <c r="UCK92" s="24"/>
      <c r="UCL92" s="24"/>
      <c r="UCM92" s="24"/>
      <c r="UCN92" s="24"/>
      <c r="UCO92" s="24"/>
      <c r="UCP92" s="24"/>
      <c r="UCQ92" s="24"/>
      <c r="UCR92" s="24"/>
      <c r="UCS92" s="24"/>
      <c r="UCT92" s="24"/>
      <c r="UCU92" s="24"/>
      <c r="UCV92" s="24"/>
      <c r="UCW92" s="24"/>
      <c r="UCX92" s="24"/>
      <c r="UCY92" s="24"/>
      <c r="UCZ92" s="24"/>
      <c r="UDA92" s="24"/>
      <c r="UDB92" s="24"/>
      <c r="UDC92" s="24"/>
      <c r="UDD92" s="24"/>
      <c r="UDE92" s="24"/>
      <c r="UDF92" s="24"/>
      <c r="UDG92" s="24"/>
      <c r="UDH92" s="24"/>
      <c r="UDI92" s="24"/>
      <c r="UDJ92" s="24"/>
      <c r="UDK92" s="24"/>
      <c r="UDL92" s="24"/>
      <c r="UDM92" s="24"/>
      <c r="UDN92" s="24"/>
      <c r="UDO92" s="24"/>
      <c r="UDP92" s="24"/>
      <c r="UDQ92" s="24"/>
      <c r="UDR92" s="24"/>
      <c r="UDS92" s="24"/>
      <c r="UDT92" s="24"/>
      <c r="UDU92" s="24"/>
      <c r="UDV92" s="24"/>
      <c r="UDW92" s="24"/>
      <c r="UDX92" s="24"/>
      <c r="UDY92" s="24"/>
      <c r="UDZ92" s="24"/>
      <c r="UEA92" s="24"/>
      <c r="UEB92" s="24"/>
      <c r="UEC92" s="24"/>
      <c r="UED92" s="24"/>
      <c r="UEE92" s="24"/>
      <c r="UEF92" s="24"/>
      <c r="UEG92" s="24"/>
      <c r="UEH92" s="24"/>
      <c r="UEI92" s="24"/>
      <c r="UEJ92" s="24"/>
      <c r="UEK92" s="24"/>
      <c r="UEL92" s="24"/>
      <c r="UEM92" s="24"/>
      <c r="UEN92" s="24"/>
      <c r="UEO92" s="24"/>
      <c r="UEP92" s="24"/>
      <c r="UEQ92" s="24"/>
      <c r="UER92" s="24"/>
      <c r="UES92" s="24"/>
      <c r="UET92" s="24"/>
      <c r="UEU92" s="24"/>
      <c r="UEV92" s="24"/>
      <c r="UEW92" s="24"/>
      <c r="UEX92" s="24"/>
      <c r="UEY92" s="24"/>
      <c r="UEZ92" s="24"/>
      <c r="UFA92" s="24"/>
      <c r="UFB92" s="24"/>
      <c r="UFC92" s="24"/>
      <c r="UFD92" s="24"/>
      <c r="UFE92" s="24"/>
      <c r="UFF92" s="24"/>
      <c r="UFG92" s="24"/>
      <c r="UFH92" s="24"/>
      <c r="UFI92" s="24"/>
      <c r="UFJ92" s="24"/>
      <c r="UFK92" s="24"/>
      <c r="UFL92" s="24"/>
      <c r="UFM92" s="24"/>
      <c r="UFN92" s="24"/>
      <c r="UFO92" s="24"/>
      <c r="UFP92" s="24"/>
      <c r="UFQ92" s="24"/>
      <c r="UFR92" s="24"/>
      <c r="UFS92" s="24"/>
      <c r="UFT92" s="24"/>
      <c r="UFU92" s="24"/>
      <c r="UFV92" s="24"/>
      <c r="UFW92" s="24"/>
      <c r="UFX92" s="24"/>
      <c r="UFY92" s="24"/>
      <c r="UFZ92" s="24"/>
      <c r="UGA92" s="24"/>
      <c r="UGB92" s="24"/>
      <c r="UGC92" s="24"/>
      <c r="UGD92" s="24"/>
      <c r="UGE92" s="24"/>
      <c r="UGF92" s="24"/>
      <c r="UGG92" s="24"/>
      <c r="UGH92" s="24"/>
      <c r="UGI92" s="24"/>
      <c r="UGJ92" s="24"/>
      <c r="UGK92" s="24"/>
      <c r="UGL92" s="24"/>
      <c r="UGM92" s="24"/>
      <c r="UGN92" s="24"/>
      <c r="UGO92" s="24"/>
      <c r="UGP92" s="24"/>
      <c r="UGQ92" s="24"/>
      <c r="UGR92" s="24"/>
      <c r="UGS92" s="24"/>
      <c r="UGT92" s="24"/>
      <c r="UGU92" s="24"/>
      <c r="UGV92" s="24"/>
      <c r="UGW92" s="24"/>
      <c r="UGX92" s="24"/>
      <c r="UGY92" s="24"/>
      <c r="UGZ92" s="24"/>
      <c r="UHA92" s="24"/>
      <c r="UHB92" s="24"/>
      <c r="UHC92" s="24"/>
      <c r="UHD92" s="24"/>
      <c r="UHE92" s="24"/>
      <c r="UHF92" s="24"/>
      <c r="UHG92" s="24"/>
      <c r="UHH92" s="24"/>
      <c r="UHI92" s="24"/>
      <c r="UHJ92" s="24"/>
      <c r="UHK92" s="24"/>
      <c r="UHL92" s="24"/>
      <c r="UHM92" s="24"/>
      <c r="UHN92" s="24"/>
      <c r="UHO92" s="24"/>
      <c r="UHP92" s="24"/>
      <c r="UHQ92" s="24"/>
      <c r="UHR92" s="24"/>
      <c r="UHS92" s="24"/>
      <c r="UHT92" s="24"/>
      <c r="UHU92" s="24"/>
      <c r="UHV92" s="24"/>
      <c r="UHW92" s="24"/>
      <c r="UHX92" s="24"/>
      <c r="UHY92" s="24"/>
      <c r="UHZ92" s="24"/>
      <c r="UIA92" s="24"/>
      <c r="UIB92" s="24"/>
      <c r="UIC92" s="24"/>
      <c r="UID92" s="24"/>
      <c r="UIE92" s="24"/>
      <c r="UIF92" s="24"/>
      <c r="UIG92" s="24"/>
      <c r="UIH92" s="24"/>
      <c r="UII92" s="24"/>
      <c r="UIJ92" s="24"/>
      <c r="UIK92" s="24"/>
      <c r="UIL92" s="24"/>
      <c r="UIM92" s="24"/>
      <c r="UIN92" s="24"/>
      <c r="UIO92" s="24"/>
      <c r="UIP92" s="24"/>
      <c r="UIQ92" s="24"/>
      <c r="UIR92" s="24"/>
      <c r="UIS92" s="24"/>
      <c r="UIT92" s="24"/>
      <c r="UIU92" s="24"/>
      <c r="UIV92" s="24"/>
      <c r="UIW92" s="24"/>
      <c r="UIX92" s="24"/>
      <c r="UIY92" s="24"/>
      <c r="UIZ92" s="24"/>
      <c r="UJA92" s="24"/>
      <c r="UJB92" s="24"/>
      <c r="UJC92" s="24"/>
      <c r="UJD92" s="24"/>
      <c r="UJE92" s="24"/>
      <c r="UJF92" s="24"/>
      <c r="UJG92" s="24"/>
      <c r="UJH92" s="24"/>
      <c r="UJI92" s="24"/>
      <c r="UJJ92" s="24"/>
      <c r="UJK92" s="24"/>
      <c r="UJL92" s="24"/>
      <c r="UJM92" s="24"/>
      <c r="UJN92" s="24"/>
      <c r="UJO92" s="24"/>
      <c r="UJP92" s="24"/>
      <c r="UJQ92" s="24"/>
      <c r="UJR92" s="24"/>
      <c r="UJS92" s="24"/>
      <c r="UJT92" s="24"/>
      <c r="UJU92" s="24"/>
      <c r="UJV92" s="24"/>
      <c r="UJW92" s="24"/>
      <c r="UJX92" s="24"/>
      <c r="UJY92" s="24"/>
      <c r="UJZ92" s="24"/>
      <c r="UKA92" s="24"/>
      <c r="UKB92" s="24"/>
      <c r="UKC92" s="24"/>
      <c r="UKD92" s="24"/>
      <c r="UKE92" s="24"/>
      <c r="UKF92" s="24"/>
      <c r="UKG92" s="24"/>
      <c r="UKH92" s="24"/>
      <c r="UKI92" s="24"/>
      <c r="UKJ92" s="24"/>
      <c r="UKK92" s="24"/>
      <c r="UKL92" s="24"/>
      <c r="UKM92" s="24"/>
      <c r="UKN92" s="24"/>
      <c r="UKO92" s="24"/>
      <c r="UKP92" s="24"/>
      <c r="UKQ92" s="24"/>
      <c r="UKR92" s="24"/>
      <c r="UKS92" s="24"/>
      <c r="UKT92" s="24"/>
      <c r="UKU92" s="24"/>
      <c r="UKV92" s="24"/>
      <c r="UKW92" s="24"/>
      <c r="UKX92" s="24"/>
      <c r="UKY92" s="24"/>
      <c r="UKZ92" s="24"/>
      <c r="ULA92" s="24"/>
      <c r="ULB92" s="24"/>
      <c r="ULC92" s="24"/>
      <c r="ULD92" s="24"/>
      <c r="ULE92" s="24"/>
      <c r="ULF92" s="24"/>
      <c r="ULG92" s="24"/>
      <c r="ULH92" s="24"/>
      <c r="ULI92" s="24"/>
      <c r="ULJ92" s="24"/>
      <c r="ULK92" s="24"/>
      <c r="ULL92" s="24"/>
      <c r="ULM92" s="24"/>
      <c r="ULN92" s="24"/>
      <c r="ULO92" s="24"/>
      <c r="ULP92" s="24"/>
      <c r="ULQ92" s="24"/>
      <c r="ULR92" s="24"/>
      <c r="ULS92" s="24"/>
      <c r="ULT92" s="24"/>
      <c r="ULU92" s="24"/>
      <c r="ULV92" s="24"/>
      <c r="ULW92" s="24"/>
      <c r="ULX92" s="24"/>
      <c r="ULY92" s="24"/>
      <c r="ULZ92" s="24"/>
      <c r="UMA92" s="24"/>
      <c r="UMB92" s="24"/>
      <c r="UMC92" s="24"/>
      <c r="UMD92" s="24"/>
      <c r="UME92" s="24"/>
      <c r="UMF92" s="24"/>
      <c r="UMG92" s="24"/>
      <c r="UMH92" s="24"/>
      <c r="UMI92" s="24"/>
      <c r="UMJ92" s="24"/>
      <c r="UMK92" s="24"/>
      <c r="UML92" s="24"/>
      <c r="UMM92" s="24"/>
      <c r="UMN92" s="24"/>
      <c r="UMO92" s="24"/>
      <c r="UMP92" s="24"/>
      <c r="UMQ92" s="24"/>
      <c r="UMR92" s="24"/>
      <c r="UMS92" s="24"/>
      <c r="UMT92" s="24"/>
      <c r="UMU92" s="24"/>
      <c r="UMV92" s="24"/>
      <c r="UMW92" s="24"/>
      <c r="UMX92" s="24"/>
      <c r="UMY92" s="24"/>
      <c r="UMZ92" s="24"/>
      <c r="UNA92" s="24"/>
      <c r="UNB92" s="24"/>
      <c r="UNC92" s="24"/>
      <c r="UND92" s="24"/>
      <c r="UNE92" s="24"/>
      <c r="UNF92" s="24"/>
      <c r="UNG92" s="24"/>
      <c r="UNH92" s="24"/>
      <c r="UNI92" s="24"/>
      <c r="UNJ92" s="24"/>
      <c r="UNK92" s="24"/>
      <c r="UNL92" s="24"/>
      <c r="UNM92" s="24"/>
      <c r="UNN92" s="24"/>
      <c r="UNO92" s="24"/>
      <c r="UNP92" s="24"/>
      <c r="UNQ92" s="24"/>
      <c r="UNR92" s="24"/>
      <c r="UNS92" s="24"/>
      <c r="UNT92" s="24"/>
      <c r="UNU92" s="24"/>
      <c r="UNV92" s="24"/>
      <c r="UNW92" s="24"/>
      <c r="UNX92" s="24"/>
      <c r="UNY92" s="24"/>
      <c r="UNZ92" s="24"/>
      <c r="UOA92" s="24"/>
      <c r="UOB92" s="24"/>
      <c r="UOC92" s="24"/>
      <c r="UOD92" s="24"/>
      <c r="UOE92" s="24"/>
      <c r="UOF92" s="24"/>
      <c r="UOG92" s="24"/>
      <c r="UOH92" s="24"/>
      <c r="UOI92" s="24"/>
      <c r="UOJ92" s="24"/>
      <c r="UOK92" s="24"/>
      <c r="UOL92" s="24"/>
      <c r="UOM92" s="24"/>
      <c r="UON92" s="24"/>
      <c r="UOO92" s="24"/>
      <c r="UOP92" s="24"/>
      <c r="UOQ92" s="24"/>
      <c r="UOR92" s="24"/>
      <c r="UOS92" s="24"/>
      <c r="UOT92" s="24"/>
      <c r="UOU92" s="24"/>
      <c r="UOV92" s="24"/>
      <c r="UOW92" s="24"/>
      <c r="UOX92" s="24"/>
      <c r="UOY92" s="24"/>
      <c r="UOZ92" s="24"/>
      <c r="UPA92" s="24"/>
      <c r="UPB92" s="24"/>
      <c r="UPC92" s="24"/>
      <c r="UPD92" s="24"/>
      <c r="UPE92" s="24"/>
      <c r="UPF92" s="24"/>
      <c r="UPG92" s="24"/>
      <c r="UPH92" s="24"/>
      <c r="UPI92" s="24"/>
      <c r="UPJ92" s="24"/>
      <c r="UPK92" s="24"/>
      <c r="UPL92" s="24"/>
      <c r="UPM92" s="24"/>
      <c r="UPN92" s="24"/>
      <c r="UPO92" s="24"/>
      <c r="UPP92" s="24"/>
      <c r="UPQ92" s="24"/>
      <c r="UPR92" s="24"/>
      <c r="UPS92" s="24"/>
      <c r="UPT92" s="24"/>
      <c r="UPU92" s="24"/>
      <c r="UPV92" s="24"/>
      <c r="UPW92" s="24"/>
      <c r="UPX92" s="24"/>
      <c r="UPY92" s="24"/>
      <c r="UPZ92" s="24"/>
      <c r="UQA92" s="24"/>
      <c r="UQB92" s="24"/>
      <c r="UQC92" s="24"/>
      <c r="UQD92" s="24"/>
      <c r="UQE92" s="24"/>
      <c r="UQF92" s="24"/>
      <c r="UQG92" s="24"/>
      <c r="UQH92" s="24"/>
      <c r="UQI92" s="24"/>
      <c r="UQJ92" s="24"/>
      <c r="UQK92" s="24"/>
      <c r="UQL92" s="24"/>
      <c r="UQM92" s="24"/>
      <c r="UQN92" s="24"/>
      <c r="UQO92" s="24"/>
      <c r="UQP92" s="24"/>
      <c r="UQQ92" s="24"/>
      <c r="UQR92" s="24"/>
      <c r="UQS92" s="24"/>
      <c r="UQT92" s="24"/>
      <c r="UQU92" s="24"/>
      <c r="UQV92" s="24"/>
      <c r="UQW92" s="24"/>
      <c r="UQX92" s="24"/>
      <c r="UQY92" s="24"/>
      <c r="UQZ92" s="24"/>
      <c r="URA92" s="24"/>
      <c r="URB92" s="24"/>
      <c r="URC92" s="24"/>
      <c r="URD92" s="24"/>
      <c r="URE92" s="24"/>
      <c r="URF92" s="24"/>
      <c r="URG92" s="24"/>
      <c r="URH92" s="24"/>
      <c r="URI92" s="24"/>
      <c r="URJ92" s="24"/>
      <c r="URK92" s="24"/>
      <c r="URL92" s="24"/>
      <c r="URM92" s="24"/>
      <c r="URN92" s="24"/>
      <c r="URO92" s="24"/>
      <c r="URP92" s="24"/>
      <c r="URQ92" s="24"/>
      <c r="URR92" s="24"/>
      <c r="URS92" s="24"/>
      <c r="URT92" s="24"/>
      <c r="URU92" s="24"/>
      <c r="URV92" s="24"/>
      <c r="URW92" s="24"/>
      <c r="URX92" s="24"/>
      <c r="URY92" s="24"/>
      <c r="URZ92" s="24"/>
      <c r="USA92" s="24"/>
      <c r="USB92" s="24"/>
      <c r="USC92" s="24"/>
      <c r="USD92" s="24"/>
      <c r="USE92" s="24"/>
      <c r="USF92" s="24"/>
      <c r="USG92" s="24"/>
      <c r="USH92" s="24"/>
      <c r="USI92" s="24"/>
      <c r="USJ92" s="24"/>
      <c r="USK92" s="24"/>
      <c r="USL92" s="24"/>
      <c r="USM92" s="24"/>
      <c r="USN92" s="24"/>
      <c r="USO92" s="24"/>
      <c r="USP92" s="24"/>
      <c r="USQ92" s="24"/>
      <c r="USR92" s="24"/>
      <c r="USS92" s="24"/>
      <c r="UST92" s="24"/>
      <c r="USU92" s="24"/>
      <c r="USV92" s="24"/>
      <c r="USW92" s="24"/>
      <c r="USX92" s="24"/>
      <c r="USY92" s="24"/>
      <c r="USZ92" s="24"/>
      <c r="UTA92" s="24"/>
      <c r="UTB92" s="24"/>
      <c r="UTC92" s="24"/>
      <c r="UTD92" s="24"/>
      <c r="UTE92" s="24"/>
      <c r="UTF92" s="24"/>
      <c r="UTG92" s="24"/>
      <c r="UTH92" s="24"/>
      <c r="UTI92" s="24"/>
      <c r="UTJ92" s="24"/>
      <c r="UTK92" s="24"/>
      <c r="UTL92" s="24"/>
      <c r="UTM92" s="24"/>
      <c r="UTN92" s="24"/>
      <c r="UTO92" s="24"/>
      <c r="UTP92" s="24"/>
      <c r="UTQ92" s="24"/>
      <c r="UTR92" s="24"/>
      <c r="UTS92" s="24"/>
      <c r="UTT92" s="24"/>
      <c r="UTU92" s="24"/>
      <c r="UTV92" s="24"/>
      <c r="UTW92" s="24"/>
      <c r="UTX92" s="24"/>
      <c r="UTY92" s="24"/>
      <c r="UTZ92" s="24"/>
      <c r="UUA92" s="24"/>
      <c r="UUB92" s="24"/>
      <c r="UUC92" s="24"/>
      <c r="UUD92" s="24"/>
      <c r="UUE92" s="24"/>
      <c r="UUF92" s="24"/>
      <c r="UUG92" s="24"/>
      <c r="UUH92" s="24"/>
      <c r="UUI92" s="24"/>
      <c r="UUJ92" s="24"/>
      <c r="UUK92" s="24"/>
      <c r="UUL92" s="24"/>
      <c r="UUM92" s="24"/>
      <c r="UUN92" s="24"/>
      <c r="UUO92" s="24"/>
      <c r="UUP92" s="24"/>
      <c r="UUQ92" s="24"/>
      <c r="UUR92" s="24"/>
      <c r="UUS92" s="24"/>
      <c r="UUT92" s="24"/>
      <c r="UUU92" s="24"/>
      <c r="UUV92" s="24"/>
      <c r="UUW92" s="24"/>
      <c r="UUX92" s="24"/>
      <c r="UUY92" s="24"/>
      <c r="UUZ92" s="24"/>
      <c r="UVA92" s="24"/>
      <c r="UVB92" s="24"/>
      <c r="UVC92" s="24"/>
      <c r="UVD92" s="24"/>
      <c r="UVE92" s="24"/>
      <c r="UVF92" s="24"/>
      <c r="UVG92" s="24"/>
      <c r="UVH92" s="24"/>
      <c r="UVI92" s="24"/>
      <c r="UVJ92" s="24"/>
      <c r="UVK92" s="24"/>
      <c r="UVL92" s="24"/>
      <c r="UVM92" s="24"/>
      <c r="UVN92" s="24"/>
      <c r="UVO92" s="24"/>
      <c r="UVP92" s="24"/>
      <c r="UVQ92" s="24"/>
      <c r="UVR92" s="24"/>
      <c r="UVS92" s="24"/>
      <c r="UVT92" s="24"/>
      <c r="UVU92" s="24"/>
      <c r="UVV92" s="24"/>
      <c r="UVW92" s="24"/>
      <c r="UVX92" s="24"/>
      <c r="UVY92" s="24"/>
      <c r="UVZ92" s="24"/>
      <c r="UWA92" s="24"/>
      <c r="UWB92" s="24"/>
      <c r="UWC92" s="24"/>
      <c r="UWD92" s="24"/>
      <c r="UWE92" s="24"/>
      <c r="UWF92" s="24"/>
      <c r="UWG92" s="24"/>
      <c r="UWH92" s="24"/>
      <c r="UWI92" s="24"/>
      <c r="UWJ92" s="24"/>
      <c r="UWK92" s="24"/>
      <c r="UWL92" s="24"/>
      <c r="UWM92" s="24"/>
      <c r="UWN92" s="24"/>
      <c r="UWO92" s="24"/>
      <c r="UWP92" s="24"/>
      <c r="UWQ92" s="24"/>
      <c r="UWR92" s="24"/>
      <c r="UWS92" s="24"/>
      <c r="UWT92" s="24"/>
      <c r="UWU92" s="24"/>
      <c r="UWV92" s="24"/>
      <c r="UWW92" s="24"/>
      <c r="UWX92" s="24"/>
      <c r="UWY92" s="24"/>
      <c r="UWZ92" s="24"/>
      <c r="UXA92" s="24"/>
      <c r="UXB92" s="24"/>
      <c r="UXC92" s="24"/>
      <c r="UXD92" s="24"/>
      <c r="UXE92" s="24"/>
      <c r="UXF92" s="24"/>
      <c r="UXG92" s="24"/>
      <c r="UXH92" s="24"/>
      <c r="UXI92" s="24"/>
      <c r="UXJ92" s="24"/>
      <c r="UXK92" s="24"/>
      <c r="UXL92" s="24"/>
      <c r="UXM92" s="24"/>
      <c r="UXN92" s="24"/>
      <c r="UXO92" s="24"/>
      <c r="UXP92" s="24"/>
      <c r="UXQ92" s="24"/>
      <c r="UXR92" s="24"/>
      <c r="UXS92" s="24"/>
      <c r="UXT92" s="24"/>
      <c r="UXU92" s="24"/>
      <c r="UXV92" s="24"/>
      <c r="UXW92" s="24"/>
      <c r="UXX92" s="24"/>
      <c r="UXY92" s="24"/>
      <c r="UXZ92" s="24"/>
      <c r="UYA92" s="24"/>
      <c r="UYB92" s="24"/>
      <c r="UYC92" s="24"/>
      <c r="UYD92" s="24"/>
      <c r="UYE92" s="24"/>
      <c r="UYF92" s="24"/>
      <c r="UYG92" s="24"/>
      <c r="UYH92" s="24"/>
      <c r="UYI92" s="24"/>
      <c r="UYJ92" s="24"/>
      <c r="UYK92" s="24"/>
      <c r="UYL92" s="24"/>
      <c r="UYM92" s="24"/>
      <c r="UYN92" s="24"/>
      <c r="UYO92" s="24"/>
      <c r="UYP92" s="24"/>
      <c r="UYQ92" s="24"/>
      <c r="UYR92" s="24"/>
      <c r="UYS92" s="24"/>
      <c r="UYT92" s="24"/>
      <c r="UYU92" s="24"/>
      <c r="UYV92" s="24"/>
      <c r="UYW92" s="24"/>
      <c r="UYX92" s="24"/>
      <c r="UYY92" s="24"/>
      <c r="UYZ92" s="24"/>
      <c r="UZA92" s="24"/>
      <c r="UZB92" s="24"/>
      <c r="UZC92" s="24"/>
      <c r="UZD92" s="24"/>
      <c r="UZE92" s="24"/>
      <c r="UZF92" s="24"/>
      <c r="UZG92" s="24"/>
      <c r="UZH92" s="24"/>
      <c r="UZI92" s="24"/>
      <c r="UZJ92" s="24"/>
      <c r="UZK92" s="24"/>
      <c r="UZL92" s="24"/>
      <c r="UZM92" s="24"/>
      <c r="UZN92" s="24"/>
      <c r="UZO92" s="24"/>
      <c r="UZP92" s="24"/>
      <c r="UZQ92" s="24"/>
      <c r="UZR92" s="24"/>
      <c r="UZS92" s="24"/>
      <c r="UZT92" s="24"/>
      <c r="UZU92" s="24"/>
      <c r="UZV92" s="24"/>
      <c r="UZW92" s="24"/>
      <c r="UZX92" s="24"/>
      <c r="UZY92" s="24"/>
      <c r="UZZ92" s="24"/>
      <c r="VAA92" s="24"/>
      <c r="VAB92" s="24"/>
      <c r="VAC92" s="24"/>
      <c r="VAD92" s="24"/>
      <c r="VAE92" s="24"/>
      <c r="VAF92" s="24"/>
      <c r="VAG92" s="24"/>
      <c r="VAH92" s="24"/>
      <c r="VAI92" s="24"/>
      <c r="VAJ92" s="24"/>
      <c r="VAK92" s="24"/>
      <c r="VAL92" s="24"/>
      <c r="VAM92" s="24"/>
      <c r="VAN92" s="24"/>
      <c r="VAO92" s="24"/>
      <c r="VAP92" s="24"/>
      <c r="VAQ92" s="24"/>
      <c r="VAR92" s="24"/>
      <c r="VAS92" s="24"/>
      <c r="VAT92" s="24"/>
      <c r="VAU92" s="24"/>
      <c r="VAV92" s="24"/>
      <c r="VAW92" s="24"/>
      <c r="VAX92" s="24"/>
      <c r="VAY92" s="24"/>
      <c r="VAZ92" s="24"/>
      <c r="VBA92" s="24"/>
      <c r="VBB92" s="24"/>
      <c r="VBC92" s="24"/>
      <c r="VBD92" s="24"/>
      <c r="VBE92" s="24"/>
      <c r="VBF92" s="24"/>
      <c r="VBG92" s="24"/>
      <c r="VBH92" s="24"/>
      <c r="VBI92" s="24"/>
      <c r="VBJ92" s="24"/>
      <c r="VBK92" s="24"/>
      <c r="VBL92" s="24"/>
      <c r="VBM92" s="24"/>
      <c r="VBN92" s="24"/>
      <c r="VBO92" s="24"/>
      <c r="VBP92" s="24"/>
      <c r="VBQ92" s="24"/>
      <c r="VBR92" s="24"/>
      <c r="VBS92" s="24"/>
      <c r="VBT92" s="24"/>
      <c r="VBU92" s="24"/>
      <c r="VBV92" s="24"/>
      <c r="VBW92" s="24"/>
      <c r="VBX92" s="24"/>
      <c r="VBY92" s="24"/>
      <c r="VBZ92" s="24"/>
      <c r="VCA92" s="24"/>
      <c r="VCB92" s="24"/>
      <c r="VCC92" s="24"/>
      <c r="VCD92" s="24"/>
      <c r="VCE92" s="24"/>
      <c r="VCF92" s="24"/>
      <c r="VCG92" s="24"/>
      <c r="VCH92" s="24"/>
      <c r="VCI92" s="24"/>
      <c r="VCJ92" s="24"/>
      <c r="VCK92" s="24"/>
      <c r="VCL92" s="24"/>
      <c r="VCM92" s="24"/>
      <c r="VCN92" s="24"/>
      <c r="VCO92" s="24"/>
      <c r="VCP92" s="24"/>
      <c r="VCQ92" s="24"/>
      <c r="VCR92" s="24"/>
      <c r="VCS92" s="24"/>
      <c r="VCT92" s="24"/>
      <c r="VCU92" s="24"/>
      <c r="VCV92" s="24"/>
      <c r="VCW92" s="24"/>
      <c r="VCX92" s="24"/>
      <c r="VCY92" s="24"/>
      <c r="VCZ92" s="24"/>
      <c r="VDA92" s="24"/>
      <c r="VDB92" s="24"/>
      <c r="VDC92" s="24"/>
      <c r="VDD92" s="24"/>
      <c r="VDE92" s="24"/>
      <c r="VDF92" s="24"/>
      <c r="VDG92" s="24"/>
      <c r="VDH92" s="24"/>
      <c r="VDI92" s="24"/>
      <c r="VDJ92" s="24"/>
      <c r="VDK92" s="24"/>
      <c r="VDL92" s="24"/>
      <c r="VDM92" s="24"/>
      <c r="VDN92" s="24"/>
      <c r="VDO92" s="24"/>
      <c r="VDP92" s="24"/>
      <c r="VDQ92" s="24"/>
      <c r="VDR92" s="24"/>
      <c r="VDS92" s="24"/>
      <c r="VDT92" s="24"/>
      <c r="VDU92" s="24"/>
      <c r="VDV92" s="24"/>
      <c r="VDW92" s="24"/>
      <c r="VDX92" s="24"/>
      <c r="VDY92" s="24"/>
      <c r="VDZ92" s="24"/>
      <c r="VEA92" s="24"/>
      <c r="VEB92" s="24"/>
      <c r="VEC92" s="24"/>
      <c r="VED92" s="24"/>
      <c r="VEE92" s="24"/>
      <c r="VEF92" s="24"/>
      <c r="VEG92" s="24"/>
      <c r="VEH92" s="24"/>
      <c r="VEI92" s="24"/>
      <c r="VEJ92" s="24"/>
      <c r="VEK92" s="24"/>
      <c r="VEL92" s="24"/>
      <c r="VEM92" s="24"/>
      <c r="VEN92" s="24"/>
      <c r="VEO92" s="24"/>
      <c r="VEP92" s="24"/>
      <c r="VEQ92" s="24"/>
      <c r="VER92" s="24"/>
      <c r="VES92" s="24"/>
      <c r="VET92" s="24"/>
      <c r="VEU92" s="24"/>
      <c r="VEV92" s="24"/>
      <c r="VEW92" s="24"/>
      <c r="VEX92" s="24"/>
      <c r="VEY92" s="24"/>
      <c r="VEZ92" s="24"/>
      <c r="VFA92" s="24"/>
      <c r="VFB92" s="24"/>
      <c r="VFC92" s="24"/>
      <c r="VFD92" s="24"/>
      <c r="VFE92" s="24"/>
      <c r="VFF92" s="24"/>
      <c r="VFG92" s="24"/>
      <c r="VFH92" s="24"/>
      <c r="VFI92" s="24"/>
      <c r="VFJ92" s="24"/>
      <c r="VFK92" s="24"/>
      <c r="VFL92" s="24"/>
      <c r="VFM92" s="24"/>
      <c r="VFN92" s="24"/>
      <c r="VFO92" s="24"/>
      <c r="VFP92" s="24"/>
      <c r="VFQ92" s="24"/>
      <c r="VFR92" s="24"/>
      <c r="VFS92" s="24"/>
      <c r="VFT92" s="24"/>
      <c r="VFU92" s="24"/>
      <c r="VFV92" s="24"/>
      <c r="VFW92" s="24"/>
      <c r="VFX92" s="24"/>
      <c r="VFY92" s="24"/>
      <c r="VFZ92" s="24"/>
      <c r="VGA92" s="24"/>
      <c r="VGB92" s="24"/>
      <c r="VGC92" s="24"/>
      <c r="VGD92" s="24"/>
      <c r="VGE92" s="24"/>
      <c r="VGF92" s="24"/>
      <c r="VGG92" s="24"/>
      <c r="VGH92" s="24"/>
      <c r="VGI92" s="24"/>
      <c r="VGJ92" s="24"/>
      <c r="VGK92" s="24"/>
      <c r="VGL92" s="24"/>
      <c r="VGM92" s="24"/>
      <c r="VGN92" s="24"/>
      <c r="VGO92" s="24"/>
      <c r="VGP92" s="24"/>
      <c r="VGQ92" s="24"/>
      <c r="VGR92" s="24"/>
      <c r="VGS92" s="24"/>
      <c r="VGT92" s="24"/>
      <c r="VGU92" s="24"/>
      <c r="VGV92" s="24"/>
      <c r="VGW92" s="24"/>
      <c r="VGX92" s="24"/>
      <c r="VGY92" s="24"/>
      <c r="VGZ92" s="24"/>
      <c r="VHA92" s="24"/>
      <c r="VHB92" s="24"/>
      <c r="VHC92" s="24"/>
      <c r="VHD92" s="24"/>
      <c r="VHE92" s="24"/>
      <c r="VHF92" s="24"/>
      <c r="VHG92" s="24"/>
      <c r="VHH92" s="24"/>
      <c r="VHI92" s="24"/>
      <c r="VHJ92" s="24"/>
      <c r="VHK92" s="24"/>
      <c r="VHL92" s="24"/>
      <c r="VHM92" s="24"/>
      <c r="VHN92" s="24"/>
      <c r="VHO92" s="24"/>
      <c r="VHP92" s="24"/>
      <c r="VHQ92" s="24"/>
      <c r="VHR92" s="24"/>
      <c r="VHS92" s="24"/>
      <c r="VHT92" s="24"/>
      <c r="VHU92" s="24"/>
      <c r="VHV92" s="24"/>
      <c r="VHW92" s="24"/>
      <c r="VHX92" s="24"/>
      <c r="VHY92" s="24"/>
      <c r="VHZ92" s="24"/>
      <c r="VIA92" s="24"/>
      <c r="VIB92" s="24"/>
      <c r="VIC92" s="24"/>
      <c r="VID92" s="24"/>
      <c r="VIE92" s="24"/>
      <c r="VIF92" s="24"/>
      <c r="VIG92" s="24"/>
      <c r="VIH92" s="24"/>
      <c r="VII92" s="24"/>
      <c r="VIJ92" s="24"/>
      <c r="VIK92" s="24"/>
      <c r="VIL92" s="24"/>
      <c r="VIM92" s="24"/>
      <c r="VIN92" s="24"/>
      <c r="VIO92" s="24"/>
      <c r="VIP92" s="24"/>
      <c r="VIQ92" s="24"/>
      <c r="VIR92" s="24"/>
      <c r="VIS92" s="24"/>
      <c r="VIT92" s="24"/>
      <c r="VIU92" s="24"/>
      <c r="VIV92" s="24"/>
      <c r="VIW92" s="24"/>
      <c r="VIX92" s="24"/>
      <c r="VIY92" s="24"/>
      <c r="VIZ92" s="24"/>
      <c r="VJA92" s="24"/>
      <c r="VJB92" s="24"/>
      <c r="VJC92" s="24"/>
      <c r="VJD92" s="24"/>
      <c r="VJE92" s="24"/>
      <c r="VJF92" s="24"/>
      <c r="VJG92" s="24"/>
      <c r="VJH92" s="24"/>
      <c r="VJI92" s="24"/>
      <c r="VJJ92" s="24"/>
      <c r="VJK92" s="24"/>
      <c r="VJL92" s="24"/>
      <c r="VJM92" s="24"/>
      <c r="VJN92" s="24"/>
      <c r="VJO92" s="24"/>
      <c r="VJP92" s="24"/>
      <c r="VJQ92" s="24"/>
      <c r="VJR92" s="24"/>
      <c r="VJS92" s="24"/>
      <c r="VJT92" s="24"/>
      <c r="VJU92" s="24"/>
      <c r="VJV92" s="24"/>
      <c r="VJW92" s="24"/>
      <c r="VJX92" s="24"/>
      <c r="VJY92" s="24"/>
      <c r="VJZ92" s="24"/>
      <c r="VKA92" s="24"/>
      <c r="VKB92" s="24"/>
      <c r="VKC92" s="24"/>
      <c r="VKD92" s="24"/>
      <c r="VKE92" s="24"/>
      <c r="VKF92" s="24"/>
      <c r="VKG92" s="24"/>
      <c r="VKH92" s="24"/>
      <c r="VKI92" s="24"/>
      <c r="VKJ92" s="24"/>
      <c r="VKK92" s="24"/>
      <c r="VKL92" s="24"/>
      <c r="VKM92" s="24"/>
      <c r="VKN92" s="24"/>
      <c r="VKO92" s="24"/>
      <c r="VKP92" s="24"/>
      <c r="VKQ92" s="24"/>
      <c r="VKR92" s="24"/>
      <c r="VKS92" s="24"/>
      <c r="VKT92" s="24"/>
      <c r="VKU92" s="24"/>
      <c r="VKV92" s="24"/>
      <c r="VKW92" s="24"/>
      <c r="VKX92" s="24"/>
      <c r="VKY92" s="24"/>
      <c r="VKZ92" s="24"/>
      <c r="VLA92" s="24"/>
      <c r="VLB92" s="24"/>
      <c r="VLC92" s="24"/>
      <c r="VLD92" s="24"/>
      <c r="VLE92" s="24"/>
      <c r="VLF92" s="24"/>
      <c r="VLG92" s="24"/>
      <c r="VLH92" s="24"/>
      <c r="VLI92" s="24"/>
      <c r="VLJ92" s="24"/>
      <c r="VLK92" s="24"/>
      <c r="VLL92" s="24"/>
      <c r="VLM92" s="24"/>
      <c r="VLN92" s="24"/>
      <c r="VLO92" s="24"/>
      <c r="VLP92" s="24"/>
      <c r="VLQ92" s="24"/>
      <c r="VLR92" s="24"/>
      <c r="VLS92" s="24"/>
      <c r="VLT92" s="24"/>
      <c r="VLU92" s="24"/>
      <c r="VLV92" s="24"/>
      <c r="VLW92" s="24"/>
      <c r="VLX92" s="24"/>
      <c r="VLY92" s="24"/>
      <c r="VLZ92" s="24"/>
      <c r="VMA92" s="24"/>
      <c r="VMB92" s="24"/>
      <c r="VMC92" s="24"/>
      <c r="VMD92" s="24"/>
      <c r="VME92" s="24"/>
      <c r="VMF92" s="24"/>
      <c r="VMG92" s="24"/>
      <c r="VMH92" s="24"/>
      <c r="VMI92" s="24"/>
      <c r="VMJ92" s="24"/>
      <c r="VMK92" s="24"/>
      <c r="VML92" s="24"/>
      <c r="VMM92" s="24"/>
      <c r="VMN92" s="24"/>
      <c r="VMO92" s="24"/>
      <c r="VMP92" s="24"/>
      <c r="VMQ92" s="24"/>
      <c r="VMR92" s="24"/>
      <c r="VMS92" s="24"/>
      <c r="VMT92" s="24"/>
      <c r="VMU92" s="24"/>
      <c r="VMV92" s="24"/>
      <c r="VMW92" s="24"/>
      <c r="VMX92" s="24"/>
      <c r="VMY92" s="24"/>
      <c r="VMZ92" s="24"/>
      <c r="VNA92" s="24"/>
      <c r="VNB92" s="24"/>
      <c r="VNC92" s="24"/>
      <c r="VND92" s="24"/>
      <c r="VNE92" s="24"/>
      <c r="VNF92" s="24"/>
      <c r="VNG92" s="24"/>
      <c r="VNH92" s="24"/>
      <c r="VNI92" s="24"/>
      <c r="VNJ92" s="24"/>
      <c r="VNK92" s="24"/>
      <c r="VNL92" s="24"/>
      <c r="VNM92" s="24"/>
      <c r="VNN92" s="24"/>
      <c r="VNO92" s="24"/>
      <c r="VNP92" s="24"/>
      <c r="VNQ92" s="24"/>
      <c r="VNR92" s="24"/>
      <c r="VNS92" s="24"/>
      <c r="VNT92" s="24"/>
      <c r="VNU92" s="24"/>
      <c r="VNV92" s="24"/>
      <c r="VNW92" s="24"/>
      <c r="VNX92" s="24"/>
      <c r="VNY92" s="24"/>
      <c r="VNZ92" s="24"/>
      <c r="VOA92" s="24"/>
      <c r="VOB92" s="24"/>
      <c r="VOC92" s="24"/>
      <c r="VOD92" s="24"/>
      <c r="VOE92" s="24"/>
      <c r="VOF92" s="24"/>
      <c r="VOG92" s="24"/>
      <c r="VOH92" s="24"/>
      <c r="VOI92" s="24"/>
      <c r="VOJ92" s="24"/>
      <c r="VOK92" s="24"/>
      <c r="VOL92" s="24"/>
      <c r="VOM92" s="24"/>
      <c r="VON92" s="24"/>
      <c r="VOO92" s="24"/>
      <c r="VOP92" s="24"/>
      <c r="VOQ92" s="24"/>
      <c r="VOR92" s="24"/>
      <c r="VOS92" s="24"/>
      <c r="VOT92" s="24"/>
      <c r="VOU92" s="24"/>
      <c r="VOV92" s="24"/>
      <c r="VOW92" s="24"/>
      <c r="VOX92" s="24"/>
      <c r="VOY92" s="24"/>
      <c r="VOZ92" s="24"/>
      <c r="VPA92" s="24"/>
      <c r="VPB92" s="24"/>
      <c r="VPC92" s="24"/>
      <c r="VPD92" s="24"/>
      <c r="VPE92" s="24"/>
      <c r="VPF92" s="24"/>
      <c r="VPG92" s="24"/>
      <c r="VPH92" s="24"/>
      <c r="VPI92" s="24"/>
      <c r="VPJ92" s="24"/>
      <c r="VPK92" s="24"/>
      <c r="VPL92" s="24"/>
      <c r="VPM92" s="24"/>
      <c r="VPN92" s="24"/>
      <c r="VPO92" s="24"/>
      <c r="VPP92" s="24"/>
      <c r="VPQ92" s="24"/>
      <c r="VPR92" s="24"/>
      <c r="VPS92" s="24"/>
      <c r="VPT92" s="24"/>
      <c r="VPU92" s="24"/>
      <c r="VPV92" s="24"/>
      <c r="VPW92" s="24"/>
      <c r="VPX92" s="24"/>
      <c r="VPY92" s="24"/>
      <c r="VPZ92" s="24"/>
      <c r="VQA92" s="24"/>
      <c r="VQB92" s="24"/>
      <c r="VQC92" s="24"/>
      <c r="VQD92" s="24"/>
      <c r="VQE92" s="24"/>
      <c r="VQF92" s="24"/>
      <c r="VQG92" s="24"/>
      <c r="VQH92" s="24"/>
      <c r="VQI92" s="24"/>
      <c r="VQJ92" s="24"/>
      <c r="VQK92" s="24"/>
      <c r="VQL92" s="24"/>
      <c r="VQM92" s="24"/>
      <c r="VQN92" s="24"/>
      <c r="VQO92" s="24"/>
      <c r="VQP92" s="24"/>
      <c r="VQQ92" s="24"/>
      <c r="VQR92" s="24"/>
      <c r="VQS92" s="24"/>
      <c r="VQT92" s="24"/>
      <c r="VQU92" s="24"/>
      <c r="VQV92" s="24"/>
      <c r="VQW92" s="24"/>
      <c r="VQX92" s="24"/>
      <c r="VQY92" s="24"/>
      <c r="VQZ92" s="24"/>
      <c r="VRA92" s="24"/>
      <c r="VRB92" s="24"/>
      <c r="VRC92" s="24"/>
      <c r="VRD92" s="24"/>
      <c r="VRE92" s="24"/>
      <c r="VRF92" s="24"/>
      <c r="VRG92" s="24"/>
      <c r="VRH92" s="24"/>
      <c r="VRI92" s="24"/>
      <c r="VRJ92" s="24"/>
      <c r="VRK92" s="24"/>
      <c r="VRL92" s="24"/>
      <c r="VRM92" s="24"/>
      <c r="VRN92" s="24"/>
      <c r="VRO92" s="24"/>
      <c r="VRP92" s="24"/>
      <c r="VRQ92" s="24"/>
      <c r="VRR92" s="24"/>
      <c r="VRS92" s="24"/>
      <c r="VRT92" s="24"/>
      <c r="VRU92" s="24"/>
      <c r="VRV92" s="24"/>
      <c r="VRW92" s="24"/>
      <c r="VRX92" s="24"/>
      <c r="VRY92" s="24"/>
      <c r="VRZ92" s="24"/>
      <c r="VSA92" s="24"/>
      <c r="VSB92" s="24"/>
      <c r="VSC92" s="24"/>
      <c r="VSD92" s="24"/>
      <c r="VSE92" s="24"/>
      <c r="VSF92" s="24"/>
      <c r="VSG92" s="24"/>
      <c r="VSH92" s="24"/>
      <c r="VSI92" s="24"/>
      <c r="VSJ92" s="24"/>
      <c r="VSK92" s="24"/>
      <c r="VSL92" s="24"/>
      <c r="VSM92" s="24"/>
      <c r="VSN92" s="24"/>
      <c r="VSO92" s="24"/>
      <c r="VSP92" s="24"/>
      <c r="VSQ92" s="24"/>
      <c r="VSR92" s="24"/>
      <c r="VSS92" s="24"/>
      <c r="VST92" s="24"/>
      <c r="VSU92" s="24"/>
      <c r="VSV92" s="24"/>
      <c r="VSW92" s="24"/>
      <c r="VSX92" s="24"/>
      <c r="VSY92" s="24"/>
      <c r="VSZ92" s="24"/>
      <c r="VTA92" s="24"/>
      <c r="VTB92" s="24"/>
      <c r="VTC92" s="24"/>
      <c r="VTD92" s="24"/>
      <c r="VTE92" s="24"/>
      <c r="VTF92" s="24"/>
      <c r="VTG92" s="24"/>
      <c r="VTH92" s="24"/>
      <c r="VTI92" s="24"/>
      <c r="VTJ92" s="24"/>
      <c r="VTK92" s="24"/>
      <c r="VTL92" s="24"/>
      <c r="VTM92" s="24"/>
      <c r="VTN92" s="24"/>
      <c r="VTO92" s="24"/>
      <c r="VTP92" s="24"/>
      <c r="VTQ92" s="24"/>
      <c r="VTR92" s="24"/>
      <c r="VTS92" s="24"/>
      <c r="VTT92" s="24"/>
      <c r="VTU92" s="24"/>
      <c r="VTV92" s="24"/>
      <c r="VTW92" s="24"/>
      <c r="VTX92" s="24"/>
      <c r="VTY92" s="24"/>
      <c r="VTZ92" s="24"/>
      <c r="VUA92" s="24"/>
      <c r="VUB92" s="24"/>
      <c r="VUC92" s="24"/>
      <c r="VUD92" s="24"/>
      <c r="VUE92" s="24"/>
      <c r="VUF92" s="24"/>
      <c r="VUG92" s="24"/>
      <c r="VUH92" s="24"/>
      <c r="VUI92" s="24"/>
      <c r="VUJ92" s="24"/>
      <c r="VUK92" s="24"/>
      <c r="VUL92" s="24"/>
      <c r="VUM92" s="24"/>
      <c r="VUN92" s="24"/>
      <c r="VUO92" s="24"/>
      <c r="VUP92" s="24"/>
      <c r="VUQ92" s="24"/>
      <c r="VUR92" s="24"/>
      <c r="VUS92" s="24"/>
      <c r="VUT92" s="24"/>
      <c r="VUU92" s="24"/>
      <c r="VUV92" s="24"/>
      <c r="VUW92" s="24"/>
      <c r="VUX92" s="24"/>
      <c r="VUY92" s="24"/>
      <c r="VUZ92" s="24"/>
      <c r="VVA92" s="24"/>
      <c r="VVB92" s="24"/>
      <c r="VVC92" s="24"/>
      <c r="VVD92" s="24"/>
      <c r="VVE92" s="24"/>
      <c r="VVF92" s="24"/>
      <c r="VVG92" s="24"/>
      <c r="VVH92" s="24"/>
      <c r="VVI92" s="24"/>
      <c r="VVJ92" s="24"/>
      <c r="VVK92" s="24"/>
      <c r="VVL92" s="24"/>
      <c r="VVM92" s="24"/>
      <c r="VVN92" s="24"/>
      <c r="VVO92" s="24"/>
      <c r="VVP92" s="24"/>
      <c r="VVQ92" s="24"/>
      <c r="VVR92" s="24"/>
      <c r="VVS92" s="24"/>
      <c r="VVT92" s="24"/>
      <c r="VVU92" s="24"/>
      <c r="VVV92" s="24"/>
      <c r="VVW92" s="24"/>
      <c r="VVX92" s="24"/>
      <c r="VVY92" s="24"/>
      <c r="VVZ92" s="24"/>
      <c r="VWA92" s="24"/>
      <c r="VWB92" s="24"/>
      <c r="VWC92" s="24"/>
      <c r="VWD92" s="24"/>
      <c r="VWE92" s="24"/>
      <c r="VWF92" s="24"/>
      <c r="VWG92" s="24"/>
      <c r="VWH92" s="24"/>
      <c r="VWI92" s="24"/>
      <c r="VWJ92" s="24"/>
      <c r="VWK92" s="24"/>
      <c r="VWL92" s="24"/>
      <c r="VWM92" s="24"/>
      <c r="VWN92" s="24"/>
      <c r="VWO92" s="24"/>
      <c r="VWP92" s="24"/>
      <c r="VWQ92" s="24"/>
      <c r="VWR92" s="24"/>
      <c r="VWS92" s="24"/>
      <c r="VWT92" s="24"/>
      <c r="VWU92" s="24"/>
      <c r="VWV92" s="24"/>
      <c r="VWW92" s="24"/>
      <c r="VWX92" s="24"/>
      <c r="VWY92" s="24"/>
      <c r="VWZ92" s="24"/>
      <c r="VXA92" s="24"/>
      <c r="VXB92" s="24"/>
      <c r="VXC92" s="24"/>
      <c r="VXD92" s="24"/>
      <c r="VXE92" s="24"/>
      <c r="VXF92" s="24"/>
      <c r="VXG92" s="24"/>
      <c r="VXH92" s="24"/>
      <c r="VXI92" s="24"/>
      <c r="VXJ92" s="24"/>
      <c r="VXK92" s="24"/>
      <c r="VXL92" s="24"/>
      <c r="VXM92" s="24"/>
      <c r="VXN92" s="24"/>
      <c r="VXO92" s="24"/>
      <c r="VXP92" s="24"/>
      <c r="VXQ92" s="24"/>
      <c r="VXR92" s="24"/>
      <c r="VXS92" s="24"/>
      <c r="VXT92" s="24"/>
      <c r="VXU92" s="24"/>
      <c r="VXV92" s="24"/>
      <c r="VXW92" s="24"/>
      <c r="VXX92" s="24"/>
      <c r="VXY92" s="24"/>
      <c r="VXZ92" s="24"/>
      <c r="VYA92" s="24"/>
      <c r="VYB92" s="24"/>
      <c r="VYC92" s="24"/>
      <c r="VYD92" s="24"/>
      <c r="VYE92" s="24"/>
      <c r="VYF92" s="24"/>
      <c r="VYG92" s="24"/>
      <c r="VYH92" s="24"/>
      <c r="VYI92" s="24"/>
      <c r="VYJ92" s="24"/>
      <c r="VYK92" s="24"/>
      <c r="VYL92" s="24"/>
      <c r="VYM92" s="24"/>
      <c r="VYN92" s="24"/>
      <c r="VYO92" s="24"/>
      <c r="VYP92" s="24"/>
      <c r="VYQ92" s="24"/>
      <c r="VYR92" s="24"/>
      <c r="VYS92" s="24"/>
      <c r="VYT92" s="24"/>
      <c r="VYU92" s="24"/>
      <c r="VYV92" s="24"/>
      <c r="VYW92" s="24"/>
      <c r="VYX92" s="24"/>
      <c r="VYY92" s="24"/>
      <c r="VYZ92" s="24"/>
      <c r="VZA92" s="24"/>
      <c r="VZB92" s="24"/>
      <c r="VZC92" s="24"/>
      <c r="VZD92" s="24"/>
      <c r="VZE92" s="24"/>
      <c r="VZF92" s="24"/>
      <c r="VZG92" s="24"/>
      <c r="VZH92" s="24"/>
      <c r="VZI92" s="24"/>
      <c r="VZJ92" s="24"/>
      <c r="VZK92" s="24"/>
      <c r="VZL92" s="24"/>
      <c r="VZM92" s="24"/>
      <c r="VZN92" s="24"/>
      <c r="VZO92" s="24"/>
      <c r="VZP92" s="24"/>
      <c r="VZQ92" s="24"/>
      <c r="VZR92" s="24"/>
      <c r="VZS92" s="24"/>
      <c r="VZT92" s="24"/>
      <c r="VZU92" s="24"/>
      <c r="VZV92" s="24"/>
      <c r="VZW92" s="24"/>
      <c r="VZX92" s="24"/>
      <c r="VZY92" s="24"/>
      <c r="VZZ92" s="24"/>
      <c r="WAA92" s="24"/>
      <c r="WAB92" s="24"/>
      <c r="WAC92" s="24"/>
      <c r="WAD92" s="24"/>
      <c r="WAE92" s="24"/>
      <c r="WAF92" s="24"/>
      <c r="WAG92" s="24"/>
      <c r="WAH92" s="24"/>
      <c r="WAI92" s="24"/>
      <c r="WAJ92" s="24"/>
      <c r="WAK92" s="24"/>
      <c r="WAL92" s="24"/>
      <c r="WAM92" s="24"/>
      <c r="WAN92" s="24"/>
      <c r="WAO92" s="24"/>
      <c r="WAP92" s="24"/>
      <c r="WAQ92" s="24"/>
      <c r="WAR92" s="24"/>
      <c r="WAS92" s="24"/>
      <c r="WAT92" s="24"/>
      <c r="WAU92" s="24"/>
      <c r="WAV92" s="24"/>
      <c r="WAW92" s="24"/>
      <c r="WAX92" s="24"/>
      <c r="WAY92" s="24"/>
      <c r="WAZ92" s="24"/>
      <c r="WBA92" s="24"/>
      <c r="WBB92" s="24"/>
      <c r="WBC92" s="24"/>
      <c r="WBD92" s="24"/>
      <c r="WBE92" s="24"/>
      <c r="WBF92" s="24"/>
      <c r="WBG92" s="24"/>
      <c r="WBH92" s="24"/>
      <c r="WBI92" s="24"/>
      <c r="WBJ92" s="24"/>
      <c r="WBK92" s="24"/>
      <c r="WBL92" s="24"/>
      <c r="WBM92" s="24"/>
      <c r="WBN92" s="24"/>
      <c r="WBO92" s="24"/>
      <c r="WBP92" s="24"/>
      <c r="WBQ92" s="24"/>
      <c r="WBR92" s="24"/>
      <c r="WBS92" s="24"/>
      <c r="WBT92" s="24"/>
      <c r="WBU92" s="24"/>
      <c r="WBV92" s="24"/>
      <c r="WBW92" s="24"/>
      <c r="WBX92" s="24"/>
      <c r="WBY92" s="24"/>
      <c r="WBZ92" s="24"/>
      <c r="WCA92" s="24"/>
      <c r="WCB92" s="24"/>
      <c r="WCC92" s="24"/>
      <c r="WCD92" s="24"/>
      <c r="WCE92" s="24"/>
      <c r="WCF92" s="24"/>
      <c r="WCG92" s="24"/>
      <c r="WCH92" s="24"/>
      <c r="WCI92" s="24"/>
      <c r="WCJ92" s="24"/>
      <c r="WCK92" s="24"/>
      <c r="WCL92" s="24"/>
      <c r="WCM92" s="24"/>
      <c r="WCN92" s="24"/>
      <c r="WCO92" s="24"/>
      <c r="WCP92" s="24"/>
      <c r="WCQ92" s="24"/>
      <c r="WCR92" s="24"/>
      <c r="WCS92" s="24"/>
      <c r="WCT92" s="24"/>
      <c r="WCU92" s="24"/>
      <c r="WCV92" s="24"/>
      <c r="WCW92" s="24"/>
      <c r="WCX92" s="24"/>
      <c r="WCY92" s="24"/>
      <c r="WCZ92" s="24"/>
      <c r="WDA92" s="24"/>
      <c r="WDB92" s="24"/>
      <c r="WDC92" s="24"/>
      <c r="WDD92" s="24"/>
      <c r="WDE92" s="24"/>
      <c r="WDF92" s="24"/>
      <c r="WDG92" s="24"/>
      <c r="WDH92" s="24"/>
      <c r="WDI92" s="24"/>
      <c r="WDJ92" s="24"/>
      <c r="WDK92" s="24"/>
      <c r="WDL92" s="24"/>
      <c r="WDM92" s="24"/>
      <c r="WDN92" s="24"/>
      <c r="WDO92" s="24"/>
      <c r="WDP92" s="24"/>
      <c r="WDQ92" s="24"/>
      <c r="WDR92" s="24"/>
      <c r="WDS92" s="24"/>
      <c r="WDT92" s="24"/>
      <c r="WDU92" s="24"/>
      <c r="WDV92" s="24"/>
      <c r="WDW92" s="24"/>
      <c r="WDX92" s="24"/>
      <c r="WDY92" s="24"/>
      <c r="WDZ92" s="24"/>
      <c r="WEA92" s="24"/>
      <c r="WEB92" s="24"/>
      <c r="WEC92" s="24"/>
      <c r="WED92" s="24"/>
      <c r="WEE92" s="24"/>
      <c r="WEF92" s="24"/>
      <c r="WEG92" s="24"/>
      <c r="WEH92" s="24"/>
      <c r="WEI92" s="24"/>
      <c r="WEJ92" s="24"/>
      <c r="WEK92" s="24"/>
      <c r="WEL92" s="24"/>
      <c r="WEM92" s="24"/>
      <c r="WEN92" s="24"/>
      <c r="WEO92" s="24"/>
      <c r="WEP92" s="24"/>
      <c r="WEQ92" s="24"/>
      <c r="WER92" s="24"/>
      <c r="WES92" s="24"/>
      <c r="WET92" s="24"/>
      <c r="WEU92" s="24"/>
      <c r="WEV92" s="24"/>
      <c r="WEW92" s="24"/>
      <c r="WEX92" s="24"/>
      <c r="WEY92" s="24"/>
      <c r="WEZ92" s="24"/>
      <c r="WFA92" s="24"/>
      <c r="WFB92" s="24"/>
      <c r="WFC92" s="24"/>
      <c r="WFD92" s="24"/>
      <c r="WFE92" s="24"/>
      <c r="WFF92" s="24"/>
      <c r="WFG92" s="24"/>
      <c r="WFH92" s="24"/>
      <c r="WFI92" s="24"/>
      <c r="WFJ92" s="24"/>
      <c r="WFK92" s="24"/>
      <c r="WFL92" s="24"/>
      <c r="WFM92" s="24"/>
      <c r="WFN92" s="24"/>
      <c r="WFO92" s="24"/>
      <c r="WFP92" s="24"/>
      <c r="WFQ92" s="24"/>
      <c r="WFR92" s="24"/>
      <c r="WFS92" s="24"/>
      <c r="WFT92" s="24"/>
      <c r="WFU92" s="24"/>
      <c r="WFV92" s="24"/>
      <c r="WFW92" s="24"/>
      <c r="WFX92" s="24"/>
      <c r="WFY92" s="24"/>
      <c r="WFZ92" s="24"/>
      <c r="WGA92" s="24"/>
      <c r="WGB92" s="24"/>
      <c r="WGC92" s="24"/>
      <c r="WGD92" s="24"/>
      <c r="WGE92" s="24"/>
      <c r="WGF92" s="24"/>
      <c r="WGG92" s="24"/>
      <c r="WGH92" s="24"/>
      <c r="WGI92" s="24"/>
      <c r="WGJ92" s="24"/>
      <c r="WGK92" s="24"/>
      <c r="WGL92" s="24"/>
      <c r="WGM92" s="24"/>
      <c r="WGN92" s="24"/>
      <c r="WGO92" s="24"/>
      <c r="WGP92" s="24"/>
      <c r="WGQ92" s="24"/>
      <c r="WGR92" s="24"/>
      <c r="WGS92" s="24"/>
      <c r="WGT92" s="24"/>
      <c r="WGU92" s="24"/>
      <c r="WGV92" s="24"/>
      <c r="WGW92" s="24"/>
      <c r="WGX92" s="24"/>
      <c r="WGY92" s="24"/>
      <c r="WGZ92" s="24"/>
      <c r="WHA92" s="24"/>
      <c r="WHB92" s="24"/>
      <c r="WHC92" s="24"/>
      <c r="WHD92" s="24"/>
      <c r="WHE92" s="24"/>
      <c r="WHF92" s="24"/>
      <c r="WHG92" s="24"/>
      <c r="WHH92" s="24"/>
      <c r="WHI92" s="24"/>
      <c r="WHJ92" s="24"/>
      <c r="WHK92" s="24"/>
      <c r="WHL92" s="24"/>
      <c r="WHM92" s="24"/>
      <c r="WHN92" s="24"/>
      <c r="WHO92" s="24"/>
      <c r="WHP92" s="24"/>
      <c r="WHQ92" s="24"/>
      <c r="WHR92" s="24"/>
      <c r="WHS92" s="24"/>
      <c r="WHT92" s="24"/>
      <c r="WHU92" s="24"/>
      <c r="WHV92" s="24"/>
      <c r="WHW92" s="24"/>
      <c r="WHX92" s="24"/>
      <c r="WHY92" s="24"/>
      <c r="WHZ92" s="24"/>
      <c r="WIA92" s="24"/>
      <c r="WIB92" s="24"/>
      <c r="WIC92" s="24"/>
      <c r="WID92" s="24"/>
      <c r="WIE92" s="24"/>
      <c r="WIF92" s="24"/>
      <c r="WIG92" s="24"/>
      <c r="WIH92" s="24"/>
      <c r="WII92" s="24"/>
      <c r="WIJ92" s="24"/>
      <c r="WIK92" s="24"/>
      <c r="WIL92" s="24"/>
      <c r="WIM92" s="24"/>
      <c r="WIN92" s="24"/>
      <c r="WIO92" s="24"/>
      <c r="WIP92" s="24"/>
      <c r="WIQ92" s="24"/>
      <c r="WIR92" s="24"/>
      <c r="WIS92" s="24"/>
      <c r="WIT92" s="24"/>
      <c r="WIU92" s="24"/>
      <c r="WIV92" s="24"/>
      <c r="WIW92" s="24"/>
      <c r="WIX92" s="24"/>
      <c r="WIY92" s="24"/>
      <c r="WIZ92" s="24"/>
      <c r="WJA92" s="24"/>
      <c r="WJB92" s="24"/>
      <c r="WJC92" s="24"/>
      <c r="WJD92" s="24"/>
      <c r="WJE92" s="24"/>
      <c r="WJF92" s="24"/>
      <c r="WJG92" s="24"/>
      <c r="WJH92" s="24"/>
      <c r="WJI92" s="24"/>
      <c r="WJJ92" s="24"/>
      <c r="WJK92" s="24"/>
      <c r="WJL92" s="24"/>
      <c r="WJM92" s="24"/>
      <c r="WJN92" s="24"/>
      <c r="WJO92" s="24"/>
      <c r="WJP92" s="24"/>
      <c r="WJQ92" s="24"/>
      <c r="WJR92" s="24"/>
      <c r="WJS92" s="24"/>
      <c r="WJT92" s="24"/>
      <c r="WJU92" s="24"/>
      <c r="WJV92" s="24"/>
      <c r="WJW92" s="24"/>
      <c r="WJX92" s="24"/>
      <c r="WJY92" s="24"/>
      <c r="WJZ92" s="24"/>
      <c r="WKA92" s="24"/>
      <c r="WKB92" s="24"/>
      <c r="WKC92" s="24"/>
      <c r="WKD92" s="24"/>
      <c r="WKE92" s="24"/>
      <c r="WKF92" s="24"/>
      <c r="WKG92" s="24"/>
      <c r="WKH92" s="24"/>
      <c r="WKI92" s="24"/>
      <c r="WKJ92" s="24"/>
      <c r="WKK92" s="24"/>
      <c r="WKL92" s="24"/>
      <c r="WKM92" s="24"/>
      <c r="WKN92" s="24"/>
      <c r="WKO92" s="24"/>
      <c r="WKP92" s="24"/>
      <c r="WKQ92" s="24"/>
      <c r="WKR92" s="24"/>
      <c r="WKS92" s="24"/>
      <c r="WKT92" s="24"/>
      <c r="WKU92" s="24"/>
      <c r="WKV92" s="24"/>
      <c r="WKW92" s="24"/>
      <c r="WKX92" s="24"/>
      <c r="WKY92" s="24"/>
      <c r="WKZ92" s="24"/>
      <c r="WLA92" s="24"/>
      <c r="WLB92" s="24"/>
      <c r="WLC92" s="24"/>
      <c r="WLD92" s="24"/>
      <c r="WLE92" s="24"/>
      <c r="WLF92" s="24"/>
      <c r="WLG92" s="24"/>
      <c r="WLH92" s="24"/>
      <c r="WLI92" s="24"/>
      <c r="WLJ92" s="24"/>
      <c r="WLK92" s="24"/>
      <c r="WLL92" s="24"/>
      <c r="WLM92" s="24"/>
      <c r="WLN92" s="24"/>
      <c r="WLO92" s="24"/>
      <c r="WLP92" s="24"/>
      <c r="WLQ92" s="24"/>
      <c r="WLR92" s="24"/>
      <c r="WLS92" s="24"/>
      <c r="WLT92" s="24"/>
      <c r="WLU92" s="24"/>
      <c r="WLV92" s="24"/>
      <c r="WLW92" s="24"/>
      <c r="WLX92" s="24"/>
      <c r="WLY92" s="24"/>
      <c r="WLZ92" s="24"/>
      <c r="WMA92" s="24"/>
      <c r="WMB92" s="24"/>
      <c r="WMC92" s="24"/>
      <c r="WMD92" s="24"/>
      <c r="WME92" s="24"/>
      <c r="WMF92" s="24"/>
      <c r="WMG92" s="24"/>
      <c r="WMH92" s="24"/>
      <c r="WMI92" s="24"/>
      <c r="WMJ92" s="24"/>
      <c r="WMK92" s="24"/>
      <c r="WML92" s="24"/>
      <c r="WMM92" s="24"/>
      <c r="WMN92" s="24"/>
      <c r="WMO92" s="24"/>
      <c r="WMP92" s="24"/>
      <c r="WMQ92" s="24"/>
      <c r="WMR92" s="24"/>
      <c r="WMS92" s="24"/>
      <c r="WMT92" s="24"/>
      <c r="WMU92" s="24"/>
      <c r="WMV92" s="24"/>
      <c r="WMW92" s="24"/>
      <c r="WMX92" s="24"/>
      <c r="WMY92" s="24"/>
      <c r="WMZ92" s="24"/>
      <c r="WNA92" s="24"/>
      <c r="WNB92" s="24"/>
      <c r="WNC92" s="24"/>
      <c r="WND92" s="24"/>
      <c r="WNE92" s="24"/>
      <c r="WNF92" s="24"/>
      <c r="WNG92" s="24"/>
      <c r="WNH92" s="24"/>
      <c r="WNI92" s="24"/>
      <c r="WNJ92" s="24"/>
      <c r="WNK92" s="24"/>
      <c r="WNL92" s="24"/>
      <c r="WNM92" s="24"/>
      <c r="WNN92" s="24"/>
      <c r="WNO92" s="24"/>
      <c r="WNP92" s="24"/>
      <c r="WNQ92" s="24"/>
      <c r="WNR92" s="24"/>
      <c r="WNS92" s="24"/>
      <c r="WNT92" s="24"/>
      <c r="WNU92" s="24"/>
      <c r="WNV92" s="24"/>
      <c r="WNW92" s="24"/>
      <c r="WNX92" s="24"/>
      <c r="WNY92" s="24"/>
      <c r="WNZ92" s="24"/>
      <c r="WOA92" s="24"/>
      <c r="WOB92" s="24"/>
      <c r="WOC92" s="24"/>
      <c r="WOD92" s="24"/>
      <c r="WOE92" s="24"/>
      <c r="WOF92" s="24"/>
      <c r="WOG92" s="24"/>
      <c r="WOH92" s="24"/>
      <c r="WOI92" s="24"/>
      <c r="WOJ92" s="24"/>
      <c r="WOK92" s="24"/>
      <c r="WOL92" s="24"/>
      <c r="WOM92" s="24"/>
      <c r="WON92" s="24"/>
      <c r="WOO92" s="24"/>
      <c r="WOP92" s="24"/>
      <c r="WOQ92" s="24"/>
      <c r="WOR92" s="24"/>
      <c r="WOS92" s="24"/>
      <c r="WOT92" s="24"/>
      <c r="WOU92" s="24"/>
      <c r="WOV92" s="24"/>
      <c r="WOW92" s="24"/>
      <c r="WOX92" s="24"/>
      <c r="WOY92" s="24"/>
      <c r="WOZ92" s="24"/>
      <c r="WPA92" s="24"/>
      <c r="WPB92" s="24"/>
      <c r="WPC92" s="24"/>
      <c r="WPD92" s="24"/>
      <c r="WPE92" s="24"/>
      <c r="WPF92" s="24"/>
      <c r="WPG92" s="24"/>
      <c r="WPH92" s="24"/>
      <c r="WPI92" s="24"/>
      <c r="WPJ92" s="24"/>
      <c r="WPK92" s="24"/>
      <c r="WPL92" s="24"/>
      <c r="WPM92" s="24"/>
      <c r="WPN92" s="24"/>
      <c r="WPO92" s="24"/>
      <c r="WPP92" s="24"/>
      <c r="WPQ92" s="24"/>
      <c r="WPR92" s="24"/>
      <c r="WPS92" s="24"/>
      <c r="WPT92" s="24"/>
      <c r="WPU92" s="24"/>
      <c r="WPV92" s="24"/>
      <c r="WPW92" s="24"/>
      <c r="WPX92" s="24"/>
      <c r="WPY92" s="24"/>
      <c r="WPZ92" s="24"/>
      <c r="WQA92" s="24"/>
      <c r="WQB92" s="24"/>
      <c r="WQC92" s="24"/>
      <c r="WQD92" s="24"/>
      <c r="WQE92" s="24"/>
      <c r="WQF92" s="24"/>
      <c r="WQG92" s="24"/>
      <c r="WQH92" s="24"/>
      <c r="WQI92" s="24"/>
      <c r="WQJ92" s="24"/>
      <c r="WQK92" s="24"/>
      <c r="WQL92" s="24"/>
      <c r="WQM92" s="24"/>
      <c r="WQN92" s="24"/>
      <c r="WQO92" s="24"/>
      <c r="WQP92" s="24"/>
      <c r="WQQ92" s="24"/>
      <c r="WQR92" s="24"/>
      <c r="WQS92" s="24"/>
      <c r="WQT92" s="24"/>
      <c r="WQU92" s="24"/>
      <c r="WQV92" s="24"/>
      <c r="WQW92" s="24"/>
      <c r="WQX92" s="24"/>
      <c r="WQY92" s="24"/>
      <c r="WQZ92" s="24"/>
      <c r="WRA92" s="24"/>
      <c r="WRB92" s="24"/>
      <c r="WRC92" s="24"/>
      <c r="WRD92" s="24"/>
      <c r="WRE92" s="24"/>
      <c r="WRF92" s="24"/>
      <c r="WRG92" s="24"/>
      <c r="WRH92" s="24"/>
      <c r="WRI92" s="24"/>
      <c r="WRJ92" s="24"/>
      <c r="WRK92" s="24"/>
      <c r="WRL92" s="24"/>
      <c r="WRM92" s="24"/>
      <c r="WRN92" s="24"/>
      <c r="WRO92" s="24"/>
      <c r="WRP92" s="24"/>
      <c r="WRQ92" s="24"/>
      <c r="WRR92" s="24"/>
      <c r="WRS92" s="24"/>
      <c r="WRT92" s="24"/>
      <c r="WRU92" s="24"/>
      <c r="WRV92" s="24"/>
      <c r="WRW92" s="24"/>
      <c r="WRX92" s="24"/>
      <c r="WRY92" s="24"/>
      <c r="WRZ92" s="24"/>
      <c r="WSA92" s="24"/>
      <c r="WSB92" s="24"/>
      <c r="WSC92" s="24"/>
      <c r="WSD92" s="24"/>
      <c r="WSE92" s="24"/>
      <c r="WSF92" s="24"/>
      <c r="WSG92" s="24"/>
      <c r="WSH92" s="24"/>
      <c r="WSI92" s="24"/>
      <c r="WSJ92" s="24"/>
      <c r="WSK92" s="24"/>
      <c r="WSL92" s="24"/>
      <c r="WSM92" s="24"/>
      <c r="WSN92" s="24"/>
      <c r="WSO92" s="24"/>
      <c r="WSP92" s="24"/>
      <c r="WSQ92" s="24"/>
      <c r="WSR92" s="24"/>
      <c r="WSS92" s="24"/>
      <c r="WST92" s="24"/>
      <c r="WSU92" s="24"/>
      <c r="WSV92" s="24"/>
      <c r="WSW92" s="24"/>
      <c r="WSX92" s="24"/>
      <c r="WSY92" s="24"/>
      <c r="WSZ92" s="24"/>
      <c r="WTA92" s="24"/>
      <c r="WTB92" s="24"/>
      <c r="WTC92" s="24"/>
      <c r="WTD92" s="24"/>
      <c r="WTE92" s="24"/>
      <c r="WTF92" s="24"/>
      <c r="WTG92" s="24"/>
      <c r="WTH92" s="24"/>
      <c r="WTI92" s="24"/>
      <c r="WTJ92" s="24"/>
      <c r="WTK92" s="24"/>
      <c r="WTL92" s="24"/>
      <c r="WTM92" s="24"/>
      <c r="WTN92" s="24"/>
      <c r="WTO92" s="24"/>
      <c r="WTP92" s="24"/>
      <c r="WTQ92" s="24"/>
      <c r="WTR92" s="24"/>
      <c r="WTS92" s="24"/>
      <c r="WTT92" s="24"/>
      <c r="WTU92" s="24"/>
      <c r="WTV92" s="24"/>
      <c r="WTW92" s="24"/>
      <c r="WTX92" s="24"/>
      <c r="WTY92" s="24"/>
      <c r="WTZ92" s="24"/>
      <c r="WUA92" s="24"/>
      <c r="WUB92" s="24"/>
      <c r="WUC92" s="24"/>
      <c r="WUD92" s="24"/>
      <c r="WUE92" s="24"/>
      <c r="WUF92" s="24"/>
      <c r="WUG92" s="24"/>
      <c r="WUH92" s="24"/>
      <c r="WUI92" s="24"/>
      <c r="WUJ92" s="24"/>
      <c r="WUK92" s="24"/>
      <c r="WUL92" s="24"/>
      <c r="WUM92" s="24"/>
      <c r="WUN92" s="24"/>
      <c r="WUO92" s="24"/>
      <c r="WUP92" s="24"/>
      <c r="WUQ92" s="24"/>
      <c r="WUR92" s="24"/>
      <c r="WUS92" s="24"/>
      <c r="WUT92" s="24"/>
      <c r="WUU92" s="24"/>
      <c r="WUV92" s="24"/>
      <c r="WUW92" s="24"/>
      <c r="WUX92" s="24"/>
      <c r="WUY92" s="24"/>
      <c r="WUZ92" s="24"/>
      <c r="WVA92" s="24"/>
      <c r="WVB92" s="24"/>
      <c r="WVC92" s="24"/>
      <c r="WVD92" s="24"/>
      <c r="WVE92" s="24"/>
      <c r="WVF92" s="24"/>
      <c r="WVG92" s="24"/>
      <c r="WVH92" s="24"/>
      <c r="WVI92" s="24"/>
      <c r="WVJ92" s="24"/>
      <c r="WVK92" s="24"/>
      <c r="WVL92" s="24"/>
      <c r="WVM92" s="24"/>
      <c r="WVN92" s="24"/>
      <c r="WVO92" s="24"/>
      <c r="WVP92" s="24"/>
      <c r="WVQ92" s="24"/>
      <c r="WVR92" s="24"/>
      <c r="WVS92" s="24"/>
      <c r="WVT92" s="24"/>
      <c r="WVU92" s="24"/>
      <c r="WVV92" s="24"/>
      <c r="WVW92" s="24"/>
      <c r="WVX92" s="24"/>
      <c r="WVY92" s="24"/>
      <c r="WVZ92" s="24"/>
      <c r="WWA92" s="24"/>
      <c r="WWB92" s="24"/>
      <c r="WWC92" s="24"/>
      <c r="WWD92" s="24"/>
      <c r="WWE92" s="24"/>
      <c r="WWF92" s="24"/>
      <c r="WWG92" s="24"/>
      <c r="WWH92" s="24"/>
      <c r="WWI92" s="24"/>
      <c r="WWJ92" s="24"/>
      <c r="WWK92" s="24"/>
      <c r="WWL92" s="24"/>
      <c r="WWM92" s="24"/>
      <c r="WWN92" s="24"/>
      <c r="WWO92" s="24"/>
      <c r="WWP92" s="24"/>
      <c r="WWQ92" s="24"/>
      <c r="WWR92" s="24"/>
      <c r="WWS92" s="24"/>
      <c r="WWT92" s="24"/>
      <c r="WWU92" s="24"/>
      <c r="WWV92" s="24"/>
      <c r="WWW92" s="24"/>
      <c r="WWX92" s="24"/>
      <c r="WWY92" s="24"/>
      <c r="WWZ92" s="24"/>
      <c r="WXA92" s="24"/>
      <c r="WXB92" s="24"/>
      <c r="WXC92" s="24"/>
      <c r="WXD92" s="24"/>
      <c r="WXE92" s="24"/>
      <c r="WXF92" s="24"/>
      <c r="WXG92" s="24"/>
      <c r="WXH92" s="24"/>
      <c r="WXI92" s="24"/>
      <c r="WXJ92" s="24"/>
      <c r="WXK92" s="24"/>
      <c r="WXL92" s="24"/>
      <c r="WXM92" s="24"/>
      <c r="WXN92" s="24"/>
      <c r="WXO92" s="24"/>
      <c r="WXP92" s="24"/>
      <c r="WXQ92" s="24"/>
      <c r="WXR92" s="24"/>
      <c r="WXS92" s="24"/>
      <c r="WXT92" s="24"/>
      <c r="WXU92" s="24"/>
      <c r="WXV92" s="24"/>
      <c r="WXW92" s="24"/>
      <c r="WXX92" s="24"/>
      <c r="WXY92" s="24"/>
      <c r="WXZ92" s="24"/>
      <c r="WYA92" s="24"/>
      <c r="WYB92" s="24"/>
      <c r="WYC92" s="24"/>
      <c r="WYD92" s="24"/>
      <c r="WYE92" s="24"/>
      <c r="WYF92" s="24"/>
      <c r="WYG92" s="24"/>
      <c r="WYH92" s="24"/>
      <c r="WYI92" s="24"/>
      <c r="WYJ92" s="24"/>
      <c r="WYK92" s="24"/>
      <c r="WYL92" s="24"/>
      <c r="WYM92" s="24"/>
      <c r="WYN92" s="24"/>
      <c r="WYO92" s="24"/>
      <c r="WYP92" s="24"/>
      <c r="WYQ92" s="24"/>
      <c r="WYR92" s="24"/>
      <c r="WYS92" s="24"/>
      <c r="WYT92" s="24"/>
      <c r="WYU92" s="24"/>
      <c r="WYV92" s="24"/>
      <c r="WYW92" s="24"/>
      <c r="WYX92" s="24"/>
      <c r="WYY92" s="24"/>
      <c r="WYZ92" s="24"/>
      <c r="WZA92" s="24"/>
      <c r="WZB92" s="24"/>
      <c r="WZC92" s="24"/>
      <c r="WZD92" s="24"/>
      <c r="WZE92" s="24"/>
      <c r="WZF92" s="24"/>
      <c r="WZG92" s="24"/>
      <c r="WZH92" s="24"/>
      <c r="WZI92" s="24"/>
      <c r="WZJ92" s="24"/>
      <c r="WZK92" s="24"/>
      <c r="WZL92" s="24"/>
      <c r="WZM92" s="24"/>
      <c r="WZN92" s="24"/>
      <c r="WZO92" s="24"/>
      <c r="WZP92" s="24"/>
      <c r="WZQ92" s="24"/>
      <c r="WZR92" s="24"/>
      <c r="WZS92" s="24"/>
      <c r="WZT92" s="24"/>
      <c r="WZU92" s="24"/>
      <c r="WZV92" s="24"/>
      <c r="WZW92" s="24"/>
      <c r="WZX92" s="24"/>
      <c r="WZY92" s="24"/>
      <c r="WZZ92" s="24"/>
      <c r="XAA92" s="24"/>
      <c r="XAB92" s="24"/>
      <c r="XAC92" s="24"/>
      <c r="XAD92" s="24"/>
      <c r="XAE92" s="24"/>
      <c r="XAF92" s="24"/>
      <c r="XAG92" s="24"/>
      <c r="XAH92" s="24"/>
      <c r="XAI92" s="24"/>
    </row>
  </sheetData>
  <sheetProtection sheet="1" sort="0" pivotTables="0"/>
  <protectedRanges>
    <protectedRange sqref="H18:H92" name="Bereich1_2"/>
    <protectedRange sqref="G91:G92" name="Bereich1_4"/>
  </protectedRanges>
  <phoneticPr fontId="9" type="noConversion"/>
  <pageMargins left="0.7" right="0.7" top="0.75" bottom="0.75" header="0.3" footer="0.3"/>
  <pageSetup paperSize="9" scale="55" orientation="landscape" r:id="rId1"/>
  <headerFooter>
    <oddHeader>&amp;CLeitRess | Bauteil-LCA&amp;R2023</oddHeader>
    <oddFooter>&amp;R10.12.2023</oddFooter>
  </headerFooter>
  <rowBreaks count="2" manualBreakCount="2">
    <brk id="53" max="25" man="1"/>
    <brk id="92" max="25" man="1"/>
  </rowBreaks>
  <colBreaks count="2" manualBreakCount="2">
    <brk id="8" max="91" man="1"/>
    <brk id="26" max="1048575" man="1"/>
  </colBreaks>
  <tableParts count="1">
    <tablePart r:id="rId2"/>
  </tableParts>
  <extLst>
    <ext xmlns:x14="http://schemas.microsoft.com/office/spreadsheetml/2009/9/main" uri="{CCE6A557-97BC-4b89-ADB6-D9C93CAAB3DF}">
      <x14:dataValidations xmlns:xm="http://schemas.microsoft.com/office/excel/2006/main" count="3">
        <x14:dataValidation type="list" allowBlank="1" showInputMessage="1" showErrorMessage="1" xr:uid="{BFA133D0-4416-4DBF-83EC-B43AC04FB742}">
          <x14:formula1>
            <xm:f>Listen!$C$2:$C$4</xm:f>
          </x14:formula1>
          <xm:sqref>H18:H92</xm:sqref>
        </x14:dataValidation>
        <x14:dataValidation type="list" allowBlank="1" showInputMessage="1" showErrorMessage="1" xr:uid="{FDA1CEC7-FE26-49DC-B94E-B218437975F4}">
          <x14:formula1>
            <xm:f>Materialdaten!$C$9:$C$48</xm:f>
          </x14:formula1>
          <xm:sqref>G84 G54 G79:G82 G77 G18:G23 G70 G72:G75 G64 G30 G86 G28 G37 G41 G50 G58:G61 G88:G90</xm:sqref>
        </x14:dataValidation>
        <x14:dataValidation type="list" allowBlank="1" showInputMessage="1" showErrorMessage="1" xr:uid="{09DCC747-90BD-4F13-B9AC-0CA879245DCE}">
          <x14:formula1>
            <xm:f>Materialdaten!$C$7:$C$48</xm:f>
          </x14:formula1>
          <xm:sqref>G91:G92</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179092-FD7D-4F44-AE7B-12D262F2EFD1}">
  <sheetPr codeName="Tabelle11"/>
  <dimension ref="A1:BE173"/>
  <sheetViews>
    <sheetView zoomScale="40" zoomScaleNormal="40" workbookViewId="0">
      <selection activeCell="J24" sqref="J24"/>
    </sheetView>
  </sheetViews>
  <sheetFormatPr baseColWidth="10" defaultColWidth="11.46484375" defaultRowHeight="14.25" x14ac:dyDescent="0.45"/>
  <cols>
    <col min="1" max="1" width="24" bestFit="1" customWidth="1"/>
    <col min="2" max="2" width="55.1328125" bestFit="1" customWidth="1"/>
    <col min="3" max="3" width="28.33203125" bestFit="1" customWidth="1"/>
    <col min="4" max="4" width="25.1328125" bestFit="1" customWidth="1"/>
    <col min="5" max="5" width="71.53125" bestFit="1" customWidth="1"/>
    <col min="6" max="6" width="35.6640625" bestFit="1" customWidth="1"/>
    <col min="7" max="7" width="51.6640625" bestFit="1" customWidth="1"/>
    <col min="8" max="8" width="36.53125" bestFit="1" customWidth="1"/>
    <col min="9" max="9" width="33.33203125" bestFit="1" customWidth="1"/>
    <col min="10" max="10" width="26.33203125" bestFit="1" customWidth="1"/>
    <col min="11" max="11" width="26.6640625" bestFit="1" customWidth="1"/>
    <col min="12" max="12" width="28.46484375" bestFit="1" customWidth="1"/>
    <col min="13" max="13" width="19.33203125" bestFit="1" customWidth="1"/>
    <col min="14" max="14" width="39" bestFit="1" customWidth="1"/>
    <col min="15" max="15" width="32.1328125" bestFit="1" customWidth="1"/>
    <col min="16" max="16" width="32.6640625" bestFit="1" customWidth="1"/>
    <col min="17" max="17" width="36.33203125" bestFit="1" customWidth="1"/>
    <col min="18" max="18" width="29" bestFit="1" customWidth="1"/>
    <col min="19" max="19" width="29.53125" bestFit="1" customWidth="1"/>
    <col min="20" max="20" width="33.46484375" bestFit="1" customWidth="1"/>
    <col min="21" max="21" width="41.53125" bestFit="1" customWidth="1"/>
    <col min="22" max="22" width="29.33203125" bestFit="1" customWidth="1"/>
    <col min="23" max="23" width="36.33203125" bestFit="1" customWidth="1"/>
    <col min="24" max="24" width="34.33203125" bestFit="1" customWidth="1"/>
    <col min="25" max="25" width="26.6640625" bestFit="1" customWidth="1"/>
    <col min="26" max="26" width="31.53125" bestFit="1" customWidth="1"/>
    <col min="27" max="27" width="54.33203125" bestFit="1" customWidth="1"/>
    <col min="28" max="28" width="47.1328125" bestFit="1" customWidth="1"/>
    <col min="29" max="29" width="47.86328125" bestFit="1" customWidth="1"/>
    <col min="30" max="30" width="64.33203125" bestFit="1" customWidth="1"/>
    <col min="31" max="31" width="57.33203125" bestFit="1" customWidth="1"/>
    <col min="32" max="32" width="57.86328125" bestFit="1" customWidth="1"/>
    <col min="33" max="33" width="46.33203125" bestFit="1" customWidth="1"/>
    <col min="34" max="34" width="39.33203125" bestFit="1" customWidth="1"/>
    <col min="35" max="35" width="39.86328125" bestFit="1" customWidth="1"/>
    <col min="36" max="36" width="37.6640625" bestFit="1" customWidth="1"/>
    <col min="37" max="37" width="30.6640625" bestFit="1" customWidth="1"/>
    <col min="38" max="38" width="31.33203125" bestFit="1" customWidth="1"/>
    <col min="39" max="39" width="35.6640625" bestFit="1" customWidth="1"/>
    <col min="40" max="40" width="28.6640625" bestFit="1" customWidth="1"/>
    <col min="41" max="41" width="29.33203125" bestFit="1" customWidth="1"/>
    <col min="42" max="42" width="53.6640625" bestFit="1" customWidth="1"/>
    <col min="43" max="43" width="46.53125" bestFit="1" customWidth="1"/>
    <col min="44" max="44" width="47.1328125" bestFit="1" customWidth="1"/>
    <col min="45" max="45" width="39.33203125" bestFit="1" customWidth="1"/>
    <col min="46" max="46" width="32.33203125" bestFit="1" customWidth="1"/>
    <col min="47" max="47" width="32.86328125" bestFit="1" customWidth="1"/>
    <col min="48" max="48" width="33.33203125" bestFit="1" customWidth="1"/>
    <col min="49" max="49" width="25.46484375" bestFit="1" customWidth="1"/>
    <col min="50" max="50" width="23.33203125" bestFit="1" customWidth="1"/>
    <col min="51" max="51" width="41" bestFit="1" customWidth="1"/>
    <col min="52" max="52" width="47.86328125" bestFit="1" customWidth="1"/>
    <col min="53" max="53" width="46" bestFit="1" customWidth="1"/>
    <col min="54" max="54" width="38.46484375" bestFit="1" customWidth="1"/>
    <col min="55" max="55" width="14.86328125" bestFit="1" customWidth="1"/>
    <col min="56" max="56" width="46.6640625" bestFit="1" customWidth="1"/>
    <col min="57" max="57" width="40.6640625" bestFit="1" customWidth="1"/>
    <col min="58" max="58" width="40.46484375" customWidth="1"/>
    <col min="59" max="59" width="47.1328125" bestFit="1" customWidth="1"/>
    <col min="60" max="60" width="24.53125" bestFit="1" customWidth="1"/>
    <col min="61" max="61" width="34.6640625" bestFit="1" customWidth="1"/>
    <col min="62" max="62" width="35.46484375" bestFit="1" customWidth="1"/>
    <col min="63" max="63" width="9.6640625" bestFit="1" customWidth="1"/>
    <col min="64" max="64" width="54.1328125" bestFit="1" customWidth="1"/>
    <col min="65" max="65" width="36.33203125" customWidth="1"/>
  </cols>
  <sheetData>
    <row r="1" spans="1:57" x14ac:dyDescent="0.45">
      <c r="A1" t="s">
        <v>170</v>
      </c>
      <c r="B1" t="s">
        <v>171</v>
      </c>
      <c r="C1" t="s">
        <v>172</v>
      </c>
      <c r="D1" t="s">
        <v>173</v>
      </c>
      <c r="E1" t="s">
        <v>174</v>
      </c>
      <c r="F1" t="s">
        <v>176</v>
      </c>
      <c r="G1" t="s">
        <v>49</v>
      </c>
      <c r="H1" t="s">
        <v>356</v>
      </c>
      <c r="I1" t="s">
        <v>179</v>
      </c>
      <c r="J1" t="s">
        <v>180</v>
      </c>
      <c r="K1" t="s">
        <v>181</v>
      </c>
      <c r="L1" t="s">
        <v>182</v>
      </c>
      <c r="M1" t="s">
        <v>357</v>
      </c>
      <c r="N1" t="s">
        <v>184</v>
      </c>
      <c r="O1" t="s">
        <v>185</v>
      </c>
      <c r="P1" t="s">
        <v>186</v>
      </c>
      <c r="Q1" t="s">
        <v>197</v>
      </c>
      <c r="R1" t="s">
        <v>198</v>
      </c>
      <c r="S1" t="s">
        <v>199</v>
      </c>
      <c r="T1" t="s">
        <v>187</v>
      </c>
      <c r="U1" t="s">
        <v>188</v>
      </c>
      <c r="V1" t="s">
        <v>189</v>
      </c>
      <c r="W1" t="s">
        <v>190</v>
      </c>
      <c r="X1" t="s">
        <v>191</v>
      </c>
      <c r="Y1" t="s">
        <v>192</v>
      </c>
      <c r="Z1" t="s">
        <v>200</v>
      </c>
      <c r="AA1" t="s">
        <v>201</v>
      </c>
      <c r="AB1" t="s">
        <v>202</v>
      </c>
      <c r="AC1" t="s">
        <v>203</v>
      </c>
      <c r="AD1" t="s">
        <v>204</v>
      </c>
      <c r="AE1" t="s">
        <v>205</v>
      </c>
      <c r="AF1" t="s">
        <v>206</v>
      </c>
      <c r="AG1" t="s">
        <v>207</v>
      </c>
      <c r="AH1" t="s">
        <v>208</v>
      </c>
      <c r="AI1" t="s">
        <v>209</v>
      </c>
      <c r="AJ1" t="s">
        <v>210</v>
      </c>
      <c r="AK1" t="s">
        <v>211</v>
      </c>
      <c r="AL1" t="s">
        <v>212</v>
      </c>
      <c r="AM1" t="s">
        <v>213</v>
      </c>
      <c r="AN1" t="s">
        <v>214</v>
      </c>
      <c r="AO1" t="s">
        <v>215</v>
      </c>
      <c r="AP1" t="s">
        <v>216</v>
      </c>
      <c r="AQ1" t="s">
        <v>217</v>
      </c>
      <c r="AR1" t="s">
        <v>218</v>
      </c>
      <c r="AS1" t="s">
        <v>219</v>
      </c>
      <c r="AT1" t="s">
        <v>220</v>
      </c>
      <c r="AU1" t="s">
        <v>221</v>
      </c>
      <c r="AV1" t="s">
        <v>175</v>
      </c>
      <c r="AW1" t="s">
        <v>178</v>
      </c>
      <c r="AX1" t="s">
        <v>183</v>
      </c>
      <c r="AY1" t="s">
        <v>193</v>
      </c>
      <c r="AZ1" t="s">
        <v>194</v>
      </c>
      <c r="BA1" t="s">
        <v>195</v>
      </c>
      <c r="BB1" t="s">
        <v>196</v>
      </c>
      <c r="BC1" t="s">
        <v>107</v>
      </c>
      <c r="BD1" t="s">
        <v>300</v>
      </c>
      <c r="BE1" t="s">
        <v>301</v>
      </c>
    </row>
    <row r="2" spans="1:57" x14ac:dyDescent="0.45">
      <c r="A2" t="s">
        <v>53</v>
      </c>
      <c r="B2" t="s">
        <v>302</v>
      </c>
      <c r="C2">
        <v>2</v>
      </c>
      <c r="D2" t="s">
        <v>303</v>
      </c>
      <c r="E2" t="s">
        <v>86</v>
      </c>
      <c r="F2" t="s">
        <v>304</v>
      </c>
      <c r="G2" t="s">
        <v>224</v>
      </c>
      <c r="H2" t="s">
        <v>225</v>
      </c>
      <c r="I2">
        <v>50</v>
      </c>
      <c r="J2">
        <v>50</v>
      </c>
      <c r="K2">
        <v>50</v>
      </c>
      <c r="L2">
        <v>1</v>
      </c>
      <c r="N2">
        <v>0.05</v>
      </c>
      <c r="O2">
        <v>0.05</v>
      </c>
      <c r="P2">
        <v>0.05</v>
      </c>
      <c r="Q2">
        <v>118</v>
      </c>
      <c r="R2">
        <v>118</v>
      </c>
      <c r="S2">
        <v>118</v>
      </c>
      <c r="T2" t="s">
        <v>226</v>
      </c>
      <c r="U2" t="s">
        <v>363</v>
      </c>
      <c r="V2">
        <v>2360</v>
      </c>
      <c r="W2">
        <v>0</v>
      </c>
      <c r="X2">
        <v>0</v>
      </c>
      <c r="Y2">
        <v>1.4</v>
      </c>
      <c r="Z2">
        <v>35.714285714285715</v>
      </c>
      <c r="AA2">
        <v>117.7747076304871</v>
      </c>
      <c r="AB2">
        <v>117.7747076304871</v>
      </c>
      <c r="AC2">
        <v>117.7747076304871</v>
      </c>
      <c r="AD2">
        <v>122.11724076140833</v>
      </c>
      <c r="AE2">
        <v>122.11724076140833</v>
      </c>
      <c r="AF2">
        <v>122.11724076140833</v>
      </c>
      <c r="AG2">
        <v>9.9692403987468108</v>
      </c>
      <c r="AH2">
        <v>9.9692403987468108</v>
      </c>
      <c r="AI2">
        <v>9.9692403987468108</v>
      </c>
      <c r="AJ2">
        <v>78.09993506093781</v>
      </c>
      <c r="AK2">
        <v>78.09993506093781</v>
      </c>
      <c r="AL2">
        <v>78.09993506093781</v>
      </c>
      <c r="AP2">
        <v>4.9409832398411284</v>
      </c>
      <c r="AQ2">
        <v>4.9409832398411284</v>
      </c>
      <c r="AR2">
        <v>4.9409832398411284</v>
      </c>
      <c r="AS2">
        <v>5.1277125486838444E-3</v>
      </c>
      <c r="AT2">
        <v>5.1277125486838444E-3</v>
      </c>
      <c r="AU2">
        <v>5.1277125486838444E-3</v>
      </c>
      <c r="BC2" t="s">
        <v>15</v>
      </c>
    </row>
    <row r="3" spans="1:57" x14ac:dyDescent="0.45">
      <c r="A3" t="s">
        <v>53</v>
      </c>
      <c r="B3" t="s">
        <v>302</v>
      </c>
      <c r="C3">
        <v>2</v>
      </c>
      <c r="D3" t="s">
        <v>303</v>
      </c>
      <c r="E3" t="s">
        <v>86</v>
      </c>
      <c r="F3" t="s">
        <v>317</v>
      </c>
      <c r="G3" t="s">
        <v>282</v>
      </c>
      <c r="H3" t="s">
        <v>225</v>
      </c>
      <c r="I3">
        <v>0.2</v>
      </c>
      <c r="J3">
        <v>0.2</v>
      </c>
      <c r="K3">
        <v>0.2</v>
      </c>
      <c r="L3">
        <v>1</v>
      </c>
      <c r="N3">
        <v>0</v>
      </c>
      <c r="O3">
        <v>0</v>
      </c>
      <c r="P3">
        <v>0</v>
      </c>
      <c r="Q3">
        <v>0.28000000000000003</v>
      </c>
      <c r="R3">
        <v>0.28000000000000003</v>
      </c>
      <c r="S3">
        <v>0.28000000000000003</v>
      </c>
      <c r="T3" t="s">
        <v>226</v>
      </c>
      <c r="U3" t="s">
        <v>366</v>
      </c>
      <c r="V3">
        <v>1390</v>
      </c>
      <c r="W3">
        <v>0.2</v>
      </c>
      <c r="X3">
        <v>0</v>
      </c>
      <c r="Y3">
        <v>0.17</v>
      </c>
      <c r="Z3">
        <v>1.1764705882352942</v>
      </c>
      <c r="AA3">
        <v>0.56566490833487659</v>
      </c>
      <c r="AB3">
        <v>0.56566490833487659</v>
      </c>
      <c r="AC3">
        <v>0.56566490833487659</v>
      </c>
      <c r="AD3">
        <v>0.70605426967153773</v>
      </c>
      <c r="AE3">
        <v>0.70605426967153773</v>
      </c>
      <c r="AF3">
        <v>0.70605426967153773</v>
      </c>
      <c r="AG3">
        <v>0.55327120946390662</v>
      </c>
      <c r="AH3">
        <v>0.55327120946390662</v>
      </c>
      <c r="AI3">
        <v>0.55327120946390662</v>
      </c>
      <c r="AJ3">
        <v>20.491472968565958</v>
      </c>
      <c r="AK3">
        <v>20.491472968565958</v>
      </c>
      <c r="AL3">
        <v>20.491472968565958</v>
      </c>
      <c r="AP3">
        <v>0.28989199614304856</v>
      </c>
      <c r="AQ3">
        <v>0.28989199614304856</v>
      </c>
      <c r="AR3">
        <v>0.28989199614304856</v>
      </c>
      <c r="AS3">
        <v>2.3771240070454252E-4</v>
      </c>
      <c r="AT3">
        <v>2.3771240070454252E-4</v>
      </c>
      <c r="AU3">
        <v>2.3771240070454252E-4</v>
      </c>
      <c r="BC3" t="s">
        <v>15</v>
      </c>
    </row>
    <row r="4" spans="1:57" x14ac:dyDescent="0.45">
      <c r="A4" t="s">
        <v>53</v>
      </c>
      <c r="B4" t="s">
        <v>302</v>
      </c>
      <c r="C4">
        <v>2</v>
      </c>
      <c r="D4" t="s">
        <v>303</v>
      </c>
      <c r="E4" t="s">
        <v>86</v>
      </c>
      <c r="F4" t="s">
        <v>320</v>
      </c>
      <c r="G4" t="s">
        <v>270</v>
      </c>
      <c r="H4" t="s">
        <v>228</v>
      </c>
      <c r="I4">
        <v>120</v>
      </c>
      <c r="J4">
        <v>80</v>
      </c>
      <c r="K4">
        <v>200</v>
      </c>
      <c r="L4">
        <v>1</v>
      </c>
      <c r="N4">
        <v>0.12</v>
      </c>
      <c r="O4">
        <v>0.08</v>
      </c>
      <c r="P4">
        <v>0.2</v>
      </c>
      <c r="Q4">
        <v>3.84</v>
      </c>
      <c r="R4">
        <v>2.56</v>
      </c>
      <c r="S4">
        <v>6.4</v>
      </c>
      <c r="T4" t="s">
        <v>226</v>
      </c>
      <c r="U4" t="s">
        <v>369</v>
      </c>
      <c r="V4">
        <v>32</v>
      </c>
      <c r="W4">
        <v>0</v>
      </c>
      <c r="X4">
        <v>0</v>
      </c>
      <c r="Y4">
        <v>3.6999999999999998E-2</v>
      </c>
      <c r="Z4">
        <v>3243.2432432432433</v>
      </c>
      <c r="AA4">
        <v>10.213343560521063</v>
      </c>
      <c r="AB4">
        <v>6.8088957070140417</v>
      </c>
      <c r="AC4">
        <v>17.022239267535106</v>
      </c>
      <c r="AD4">
        <v>12.591251360869862</v>
      </c>
      <c r="AE4">
        <v>8.3941675739132418</v>
      </c>
      <c r="AF4">
        <v>20.985418934783105</v>
      </c>
      <c r="AG4">
        <v>15.63328121055479</v>
      </c>
      <c r="AH4">
        <v>10.422187473703193</v>
      </c>
      <c r="AI4">
        <v>26.055468684257985</v>
      </c>
      <c r="AJ4">
        <v>362.28741817283174</v>
      </c>
      <c r="AK4">
        <v>241.52494544855449</v>
      </c>
      <c r="AL4">
        <v>603.81236362138623</v>
      </c>
      <c r="AP4">
        <v>12.634295020674815</v>
      </c>
      <c r="AQ4">
        <v>8.4228633471165431</v>
      </c>
      <c r="AR4">
        <v>21.057158367791359</v>
      </c>
      <c r="AS4">
        <v>5.4050244067576168E-3</v>
      </c>
      <c r="AT4">
        <v>3.6033496045050784E-3</v>
      </c>
      <c r="AU4">
        <v>9.0083740112626952E-3</v>
      </c>
      <c r="BC4" t="s">
        <v>15</v>
      </c>
    </row>
    <row r="5" spans="1:57" x14ac:dyDescent="0.45">
      <c r="A5" t="s">
        <v>53</v>
      </c>
      <c r="B5" t="s">
        <v>302</v>
      </c>
      <c r="C5">
        <v>2</v>
      </c>
      <c r="D5" t="s">
        <v>303</v>
      </c>
      <c r="E5" t="s">
        <v>86</v>
      </c>
      <c r="F5" t="s">
        <v>351</v>
      </c>
      <c r="G5" t="s">
        <v>231</v>
      </c>
      <c r="H5" t="s">
        <v>225</v>
      </c>
      <c r="I5">
        <v>400</v>
      </c>
      <c r="J5">
        <v>400</v>
      </c>
      <c r="K5">
        <v>400</v>
      </c>
      <c r="L5">
        <v>1</v>
      </c>
      <c r="N5">
        <v>0.4</v>
      </c>
      <c r="O5">
        <v>0.4</v>
      </c>
      <c r="P5">
        <v>0.4</v>
      </c>
      <c r="Q5">
        <v>960</v>
      </c>
      <c r="R5">
        <v>960</v>
      </c>
      <c r="S5">
        <v>960</v>
      </c>
      <c r="T5" t="s">
        <v>226</v>
      </c>
      <c r="U5" t="s">
        <v>371</v>
      </c>
      <c r="V5">
        <v>2400</v>
      </c>
      <c r="W5">
        <v>0</v>
      </c>
      <c r="X5">
        <v>0</v>
      </c>
      <c r="Y5">
        <v>1.4</v>
      </c>
      <c r="Z5">
        <v>285.71428571428572</v>
      </c>
      <c r="AA5">
        <v>726.86732249911267</v>
      </c>
      <c r="AB5">
        <v>726.86732249911267</v>
      </c>
      <c r="AC5">
        <v>726.86732249911267</v>
      </c>
      <c r="AD5">
        <v>788.55133012764065</v>
      </c>
      <c r="AE5">
        <v>788.55133012764065</v>
      </c>
      <c r="AF5">
        <v>788.55133012764065</v>
      </c>
      <c r="AG5">
        <v>81.105684599974055</v>
      </c>
      <c r="AH5">
        <v>81.105684599974055</v>
      </c>
      <c r="AI5">
        <v>81.105684599974055</v>
      </c>
      <c r="AJ5">
        <v>539.73189559411253</v>
      </c>
      <c r="AK5">
        <v>539.73189559411253</v>
      </c>
      <c r="AL5">
        <v>539.73189559411253</v>
      </c>
      <c r="AP5">
        <v>41.234731790892837</v>
      </c>
      <c r="AQ5">
        <v>41.234731790892837</v>
      </c>
      <c r="AR5">
        <v>41.234731790892837</v>
      </c>
      <c r="AS5">
        <v>3.478898463968548E-2</v>
      </c>
      <c r="AT5">
        <v>3.478898463968548E-2</v>
      </c>
      <c r="AU5">
        <v>3.478898463968548E-2</v>
      </c>
      <c r="BC5" t="s">
        <v>15</v>
      </c>
    </row>
    <row r="6" spans="1:57" x14ac:dyDescent="0.45">
      <c r="A6" t="s">
        <v>53</v>
      </c>
      <c r="B6" t="s">
        <v>302</v>
      </c>
      <c r="C6">
        <v>2</v>
      </c>
      <c r="D6" t="s">
        <v>303</v>
      </c>
      <c r="E6" t="s">
        <v>86</v>
      </c>
      <c r="F6" t="s">
        <v>322</v>
      </c>
      <c r="G6" t="s">
        <v>229</v>
      </c>
      <c r="H6" t="s">
        <v>225</v>
      </c>
      <c r="I6">
        <v>400</v>
      </c>
      <c r="J6">
        <v>400</v>
      </c>
      <c r="K6">
        <v>400</v>
      </c>
      <c r="L6">
        <v>0.01</v>
      </c>
      <c r="N6">
        <v>0</v>
      </c>
      <c r="O6">
        <v>0</v>
      </c>
      <c r="P6">
        <v>0</v>
      </c>
      <c r="Q6">
        <v>18.12</v>
      </c>
      <c r="R6">
        <v>18.12</v>
      </c>
      <c r="S6">
        <v>18.12</v>
      </c>
      <c r="T6" t="s">
        <v>441</v>
      </c>
      <c r="U6" t="s">
        <v>436</v>
      </c>
      <c r="V6">
        <v>7850</v>
      </c>
      <c r="W6">
        <v>0</v>
      </c>
      <c r="X6">
        <v>0</v>
      </c>
      <c r="Y6">
        <v>50</v>
      </c>
      <c r="Z6">
        <v>8</v>
      </c>
      <c r="AA6">
        <v>94.753878319826995</v>
      </c>
      <c r="AB6">
        <v>94.753878319826995</v>
      </c>
      <c r="AC6">
        <v>94.753878319826995</v>
      </c>
      <c r="AD6">
        <v>149.54526776437891</v>
      </c>
      <c r="AE6">
        <v>149.54526776437891</v>
      </c>
      <c r="AF6">
        <v>149.54526776437891</v>
      </c>
      <c r="AG6">
        <v>39.256645672482009</v>
      </c>
      <c r="AH6">
        <v>39.256645672482009</v>
      </c>
      <c r="AI6">
        <v>39.256645672482009</v>
      </c>
      <c r="AJ6">
        <v>553.59672865798018</v>
      </c>
      <c r="AK6">
        <v>553.59672865798018</v>
      </c>
      <c r="AL6">
        <v>553.59672865798018</v>
      </c>
      <c r="AP6">
        <v>16.557608956463486</v>
      </c>
      <c r="AQ6">
        <v>16.557608956463486</v>
      </c>
      <c r="AR6">
        <v>16.557608956463486</v>
      </c>
      <c r="AS6">
        <v>1.1581497655905205E-2</v>
      </c>
      <c r="AT6">
        <v>1.1581497655905205E-2</v>
      </c>
      <c r="AU6">
        <v>1.1581497655905205E-2</v>
      </c>
      <c r="BC6" t="s">
        <v>15</v>
      </c>
    </row>
    <row r="7" spans="1:57" x14ac:dyDescent="0.45">
      <c r="A7" t="s">
        <v>53</v>
      </c>
      <c r="B7" t="s">
        <v>302</v>
      </c>
      <c r="C7">
        <v>2</v>
      </c>
      <c r="D7" t="s">
        <v>303</v>
      </c>
      <c r="E7" t="s">
        <v>86</v>
      </c>
      <c r="F7" t="s">
        <v>323</v>
      </c>
      <c r="G7" t="s">
        <v>279</v>
      </c>
      <c r="H7" t="s">
        <v>225</v>
      </c>
      <c r="I7">
        <v>4.5</v>
      </c>
      <c r="J7">
        <v>4.5</v>
      </c>
      <c r="K7">
        <v>4.5</v>
      </c>
      <c r="L7">
        <v>1</v>
      </c>
      <c r="N7">
        <v>0</v>
      </c>
      <c r="O7">
        <v>0</v>
      </c>
      <c r="P7">
        <v>0</v>
      </c>
      <c r="Q7">
        <v>5.4</v>
      </c>
      <c r="R7">
        <v>5.4</v>
      </c>
      <c r="S7">
        <v>5.4</v>
      </c>
      <c r="T7" t="s">
        <v>226</v>
      </c>
      <c r="U7" t="s">
        <v>373</v>
      </c>
      <c r="V7">
        <v>1200</v>
      </c>
      <c r="W7">
        <v>5</v>
      </c>
      <c r="X7">
        <v>0</v>
      </c>
      <c r="Y7">
        <v>0.215</v>
      </c>
      <c r="Z7">
        <v>20.930232558139537</v>
      </c>
      <c r="AA7">
        <v>8.5845268188329023</v>
      </c>
      <c r="AB7">
        <v>8.5845268188329023</v>
      </c>
      <c r="AC7">
        <v>8.5845268188329023</v>
      </c>
      <c r="AD7">
        <v>10.861523684728702</v>
      </c>
      <c r="AE7">
        <v>10.861523684728702</v>
      </c>
      <c r="AF7">
        <v>10.861523684728702</v>
      </c>
      <c r="AG7">
        <v>3.0978425180957716</v>
      </c>
      <c r="AH7">
        <v>3.0978425180957716</v>
      </c>
      <c r="AI7">
        <v>3.0978425180957716</v>
      </c>
      <c r="AJ7">
        <v>205.89156271166578</v>
      </c>
      <c r="AK7">
        <v>205.89156271166578</v>
      </c>
      <c r="AL7">
        <v>205.89156271166578</v>
      </c>
      <c r="AP7">
        <v>1.0439895220025921</v>
      </c>
      <c r="AQ7">
        <v>1.0439895220025921</v>
      </c>
      <c r="AR7">
        <v>1.0439895220025921</v>
      </c>
      <c r="AS7">
        <v>2.0788073179691066E-3</v>
      </c>
      <c r="AT7">
        <v>2.0788073179691066E-3</v>
      </c>
      <c r="AU7">
        <v>2.0788073179691066E-3</v>
      </c>
      <c r="BC7" t="s">
        <v>15</v>
      </c>
    </row>
    <row r="8" spans="1:57" x14ac:dyDescent="0.45">
      <c r="A8" t="s">
        <v>53</v>
      </c>
      <c r="B8" t="s">
        <v>302</v>
      </c>
      <c r="C8">
        <v>2</v>
      </c>
      <c r="D8" t="s">
        <v>303</v>
      </c>
      <c r="E8" t="s">
        <v>86</v>
      </c>
      <c r="F8" t="s">
        <v>321</v>
      </c>
      <c r="G8" t="s">
        <v>256</v>
      </c>
      <c r="H8" t="s">
        <v>225</v>
      </c>
      <c r="I8">
        <v>150</v>
      </c>
      <c r="J8">
        <v>150</v>
      </c>
      <c r="K8">
        <v>150</v>
      </c>
      <c r="L8">
        <v>1</v>
      </c>
      <c r="N8">
        <v>0.15</v>
      </c>
      <c r="O8">
        <v>0.15</v>
      </c>
      <c r="P8">
        <v>0.15</v>
      </c>
      <c r="Q8">
        <v>360</v>
      </c>
      <c r="R8">
        <v>360</v>
      </c>
      <c r="S8">
        <v>360</v>
      </c>
      <c r="T8" t="s">
        <v>226</v>
      </c>
      <c r="U8" t="s">
        <v>376</v>
      </c>
      <c r="V8">
        <v>2400</v>
      </c>
      <c r="W8">
        <v>0</v>
      </c>
      <c r="X8">
        <v>0</v>
      </c>
      <c r="Y8">
        <v>1.4</v>
      </c>
      <c r="Z8">
        <v>107.14285714285715</v>
      </c>
      <c r="AA8">
        <v>434.38885675165795</v>
      </c>
      <c r="AB8">
        <v>434.38885675165795</v>
      </c>
      <c r="AC8">
        <v>434.38885675165795</v>
      </c>
      <c r="AD8">
        <v>465.59575440345964</v>
      </c>
      <c r="AE8">
        <v>465.59575440345964</v>
      </c>
      <c r="AF8">
        <v>465.59575440345964</v>
      </c>
      <c r="AG8">
        <v>83.710457744599083</v>
      </c>
      <c r="AH8">
        <v>83.710457744599083</v>
      </c>
      <c r="AI8">
        <v>83.710457744599083</v>
      </c>
      <c r="AJ8">
        <v>646.64678231362802</v>
      </c>
      <c r="AK8">
        <v>646.64678231362802</v>
      </c>
      <c r="AL8">
        <v>646.64678231362802</v>
      </c>
      <c r="AP8">
        <v>12.044908075038624</v>
      </c>
      <c r="AQ8">
        <v>12.044908075038624</v>
      </c>
      <c r="AR8">
        <v>12.044908075038624</v>
      </c>
      <c r="AS8">
        <v>2.5192635974851219E-2</v>
      </c>
      <c r="AT8">
        <v>2.5192635974851219E-2</v>
      </c>
      <c r="AU8">
        <v>2.5192635974851219E-2</v>
      </c>
      <c r="BC8" t="s">
        <v>15</v>
      </c>
    </row>
    <row r="9" spans="1:57" x14ac:dyDescent="0.45">
      <c r="A9" t="s">
        <v>53</v>
      </c>
      <c r="B9" t="s">
        <v>306</v>
      </c>
      <c r="C9">
        <v>1</v>
      </c>
      <c r="D9" t="s">
        <v>303</v>
      </c>
      <c r="E9" t="s">
        <v>71</v>
      </c>
      <c r="F9" t="s">
        <v>304</v>
      </c>
      <c r="G9" t="s">
        <v>224</v>
      </c>
      <c r="H9" t="s">
        <v>225</v>
      </c>
      <c r="I9">
        <v>50</v>
      </c>
      <c r="J9">
        <v>50</v>
      </c>
      <c r="K9">
        <v>50</v>
      </c>
      <c r="L9">
        <v>1</v>
      </c>
      <c r="N9">
        <v>0.05</v>
      </c>
      <c r="O9">
        <v>0.05</v>
      </c>
      <c r="P9">
        <v>0.05</v>
      </c>
      <c r="Q9">
        <v>118</v>
      </c>
      <c r="R9">
        <v>118</v>
      </c>
      <c r="S9">
        <v>118</v>
      </c>
      <c r="T9" t="s">
        <v>226</v>
      </c>
      <c r="U9" t="s">
        <v>363</v>
      </c>
      <c r="V9">
        <v>2360</v>
      </c>
      <c r="W9">
        <v>0</v>
      </c>
      <c r="X9">
        <v>0</v>
      </c>
      <c r="Y9">
        <v>1.4</v>
      </c>
      <c r="Z9">
        <v>35.714285714285715</v>
      </c>
      <c r="AA9">
        <v>117.7747076304871</v>
      </c>
      <c r="AB9">
        <v>117.7747076304871</v>
      </c>
      <c r="AC9">
        <v>117.7747076304871</v>
      </c>
      <c r="AD9">
        <v>122.11724076140833</v>
      </c>
      <c r="AE9">
        <v>122.11724076140833</v>
      </c>
      <c r="AF9">
        <v>122.11724076140833</v>
      </c>
      <c r="AG9">
        <v>9.9692403987468108</v>
      </c>
      <c r="AH9">
        <v>9.9692403987468108</v>
      </c>
      <c r="AI9">
        <v>9.9692403987468108</v>
      </c>
      <c r="AJ9">
        <v>78.09993506093781</v>
      </c>
      <c r="AK9">
        <v>78.09993506093781</v>
      </c>
      <c r="AL9">
        <v>78.09993506093781</v>
      </c>
      <c r="AP9">
        <v>4.9409832398411284</v>
      </c>
      <c r="AQ9">
        <v>4.9409832398411284</v>
      </c>
      <c r="AR9">
        <v>4.9409832398411284</v>
      </c>
      <c r="AS9">
        <v>5.1277125486838444E-3</v>
      </c>
      <c r="AT9">
        <v>5.1277125486838444E-3</v>
      </c>
      <c r="AU9">
        <v>5.1277125486838444E-3</v>
      </c>
      <c r="BC9" t="s">
        <v>15</v>
      </c>
    </row>
    <row r="10" spans="1:57" x14ac:dyDescent="0.45">
      <c r="A10" t="s">
        <v>53</v>
      </c>
      <c r="B10" t="s">
        <v>306</v>
      </c>
      <c r="C10">
        <v>1</v>
      </c>
      <c r="D10" t="s">
        <v>303</v>
      </c>
      <c r="E10" t="s">
        <v>71</v>
      </c>
      <c r="F10" t="s">
        <v>317</v>
      </c>
      <c r="G10" t="s">
        <v>282</v>
      </c>
      <c r="H10" t="s">
        <v>225</v>
      </c>
      <c r="I10">
        <v>0.2</v>
      </c>
      <c r="J10">
        <v>0.2</v>
      </c>
      <c r="K10">
        <v>0.2</v>
      </c>
      <c r="L10">
        <v>1</v>
      </c>
      <c r="N10">
        <v>0</v>
      </c>
      <c r="O10">
        <v>0</v>
      </c>
      <c r="P10">
        <v>0</v>
      </c>
      <c r="Q10">
        <v>0.28000000000000003</v>
      </c>
      <c r="R10">
        <v>0.28000000000000003</v>
      </c>
      <c r="S10">
        <v>0.28000000000000003</v>
      </c>
      <c r="T10" t="s">
        <v>226</v>
      </c>
      <c r="U10" t="s">
        <v>366</v>
      </c>
      <c r="V10">
        <v>1390</v>
      </c>
      <c r="W10">
        <v>0.2</v>
      </c>
      <c r="X10">
        <v>0</v>
      </c>
      <c r="Y10">
        <v>0.17</v>
      </c>
      <c r="Z10">
        <v>1.1764705882352942</v>
      </c>
      <c r="AA10">
        <v>0.56566490833487659</v>
      </c>
      <c r="AB10">
        <v>0.56566490833487659</v>
      </c>
      <c r="AC10">
        <v>0.56566490833487659</v>
      </c>
      <c r="AD10">
        <v>0.70605426967153773</v>
      </c>
      <c r="AE10">
        <v>0.70605426967153773</v>
      </c>
      <c r="AF10">
        <v>0.70605426967153773</v>
      </c>
      <c r="AG10">
        <v>0.55327120946390662</v>
      </c>
      <c r="AH10">
        <v>0.55327120946390662</v>
      </c>
      <c r="AI10">
        <v>0.55327120946390662</v>
      </c>
      <c r="AJ10">
        <v>20.491472968565958</v>
      </c>
      <c r="AK10">
        <v>20.491472968565958</v>
      </c>
      <c r="AL10">
        <v>20.491472968565958</v>
      </c>
      <c r="AP10">
        <v>0.28989199614304856</v>
      </c>
      <c r="AQ10">
        <v>0.28989199614304856</v>
      </c>
      <c r="AR10">
        <v>0.28989199614304856</v>
      </c>
      <c r="AS10">
        <v>2.3771240070454252E-4</v>
      </c>
      <c r="AT10">
        <v>2.3771240070454252E-4</v>
      </c>
      <c r="AU10">
        <v>2.3771240070454252E-4</v>
      </c>
      <c r="BC10" t="s">
        <v>15</v>
      </c>
    </row>
    <row r="11" spans="1:57" x14ac:dyDescent="0.45">
      <c r="A11" t="s">
        <v>53</v>
      </c>
      <c r="B11" t="s">
        <v>306</v>
      </c>
      <c r="C11">
        <v>1</v>
      </c>
      <c r="D11" t="s">
        <v>303</v>
      </c>
      <c r="E11" t="s">
        <v>71</v>
      </c>
      <c r="F11" t="s">
        <v>320</v>
      </c>
      <c r="G11" t="s">
        <v>270</v>
      </c>
      <c r="H11" t="s">
        <v>228</v>
      </c>
      <c r="I11">
        <v>120</v>
      </c>
      <c r="J11">
        <v>80</v>
      </c>
      <c r="K11">
        <v>200</v>
      </c>
      <c r="L11">
        <v>1</v>
      </c>
      <c r="N11">
        <v>0.12</v>
      </c>
      <c r="O11">
        <v>0.08</v>
      </c>
      <c r="P11">
        <v>0.2</v>
      </c>
      <c r="Q11">
        <v>3.84</v>
      </c>
      <c r="R11">
        <v>2.56</v>
      </c>
      <c r="S11">
        <v>6.4</v>
      </c>
      <c r="T11" t="s">
        <v>226</v>
      </c>
      <c r="U11" t="s">
        <v>369</v>
      </c>
      <c r="V11">
        <v>32</v>
      </c>
      <c r="W11">
        <v>0</v>
      </c>
      <c r="X11">
        <v>0</v>
      </c>
      <c r="Y11">
        <v>3.6999999999999998E-2</v>
      </c>
      <c r="Z11">
        <v>3243.2432432432433</v>
      </c>
      <c r="AA11">
        <v>10.213343560521063</v>
      </c>
      <c r="AB11">
        <v>6.8088957070140417</v>
      </c>
      <c r="AC11">
        <v>17.022239267535106</v>
      </c>
      <c r="AD11">
        <v>12.591251360869862</v>
      </c>
      <c r="AE11">
        <v>8.3941675739132418</v>
      </c>
      <c r="AF11">
        <v>20.985418934783105</v>
      </c>
      <c r="AG11">
        <v>15.63328121055479</v>
      </c>
      <c r="AH11">
        <v>10.422187473703193</v>
      </c>
      <c r="AI11">
        <v>26.055468684257985</v>
      </c>
      <c r="AJ11">
        <v>362.28741817283174</v>
      </c>
      <c r="AK11">
        <v>241.52494544855449</v>
      </c>
      <c r="AL11">
        <v>603.81236362138623</v>
      </c>
      <c r="AP11">
        <v>12.634295020674815</v>
      </c>
      <c r="AQ11">
        <v>8.4228633471165431</v>
      </c>
      <c r="AR11">
        <v>21.057158367791359</v>
      </c>
      <c r="AS11">
        <v>5.4050244067576168E-3</v>
      </c>
      <c r="AT11">
        <v>3.6033496045050784E-3</v>
      </c>
      <c r="AU11">
        <v>9.0083740112626952E-3</v>
      </c>
      <c r="BC11" t="s">
        <v>15</v>
      </c>
    </row>
    <row r="12" spans="1:57" x14ac:dyDescent="0.45">
      <c r="A12" t="s">
        <v>53</v>
      </c>
      <c r="B12" t="s">
        <v>306</v>
      </c>
      <c r="C12">
        <v>1</v>
      </c>
      <c r="D12" t="s">
        <v>303</v>
      </c>
      <c r="E12" t="s">
        <v>71</v>
      </c>
      <c r="F12" t="s">
        <v>307</v>
      </c>
      <c r="G12" t="s">
        <v>224</v>
      </c>
      <c r="H12" t="s">
        <v>225</v>
      </c>
      <c r="I12">
        <v>400</v>
      </c>
      <c r="J12">
        <v>400</v>
      </c>
      <c r="K12">
        <v>400</v>
      </c>
      <c r="L12">
        <v>1</v>
      </c>
      <c r="N12">
        <v>0.4</v>
      </c>
      <c r="O12">
        <v>0.4</v>
      </c>
      <c r="P12">
        <v>0.4</v>
      </c>
      <c r="Q12">
        <v>944</v>
      </c>
      <c r="R12">
        <v>944</v>
      </c>
      <c r="S12">
        <v>944</v>
      </c>
      <c r="T12" t="s">
        <v>226</v>
      </c>
      <c r="U12" t="s">
        <v>363</v>
      </c>
      <c r="V12">
        <v>2360</v>
      </c>
      <c r="W12">
        <v>0</v>
      </c>
      <c r="X12">
        <v>0</v>
      </c>
      <c r="Y12">
        <v>1.4</v>
      </c>
      <c r="Z12">
        <v>285.71428571428572</v>
      </c>
      <c r="AA12">
        <v>942.1976610438968</v>
      </c>
      <c r="AB12">
        <v>942.1976610438968</v>
      </c>
      <c r="AC12">
        <v>942.1976610438968</v>
      </c>
      <c r="AD12">
        <v>976.9379260912666</v>
      </c>
      <c r="AE12">
        <v>976.9379260912666</v>
      </c>
      <c r="AF12">
        <v>976.9379260912666</v>
      </c>
      <c r="AG12">
        <v>79.753923189974486</v>
      </c>
      <c r="AH12">
        <v>79.753923189974486</v>
      </c>
      <c r="AI12">
        <v>79.753923189974486</v>
      </c>
      <c r="AJ12">
        <v>624.79948048750248</v>
      </c>
      <c r="AK12">
        <v>624.79948048750248</v>
      </c>
      <c r="AL12">
        <v>624.79948048750248</v>
      </c>
      <c r="AP12">
        <v>39.527865918729027</v>
      </c>
      <c r="AQ12">
        <v>39.527865918729027</v>
      </c>
      <c r="AR12">
        <v>39.527865918729027</v>
      </c>
      <c r="AS12">
        <v>4.1021700389470755E-2</v>
      </c>
      <c r="AT12">
        <v>4.1021700389470755E-2</v>
      </c>
      <c r="AU12">
        <v>4.1021700389470755E-2</v>
      </c>
      <c r="BC12" t="s">
        <v>15</v>
      </c>
    </row>
    <row r="13" spans="1:57" x14ac:dyDescent="0.45">
      <c r="A13" t="s">
        <v>53</v>
      </c>
      <c r="B13" t="s">
        <v>306</v>
      </c>
      <c r="C13">
        <v>1</v>
      </c>
      <c r="D13" t="s">
        <v>303</v>
      </c>
      <c r="E13" t="s">
        <v>71</v>
      </c>
      <c r="F13" t="s">
        <v>322</v>
      </c>
      <c r="G13" t="s">
        <v>229</v>
      </c>
      <c r="H13" t="s">
        <v>225</v>
      </c>
      <c r="I13">
        <v>400</v>
      </c>
      <c r="J13">
        <v>400</v>
      </c>
      <c r="K13">
        <v>400</v>
      </c>
      <c r="L13">
        <v>0.01</v>
      </c>
      <c r="N13">
        <v>0</v>
      </c>
      <c r="O13">
        <v>0</v>
      </c>
      <c r="P13">
        <v>0</v>
      </c>
      <c r="Q13">
        <v>18.12</v>
      </c>
      <c r="R13">
        <v>18.12</v>
      </c>
      <c r="S13">
        <v>18.12</v>
      </c>
      <c r="T13" t="s">
        <v>441</v>
      </c>
      <c r="U13" t="s">
        <v>436</v>
      </c>
      <c r="V13">
        <v>7850</v>
      </c>
      <c r="W13">
        <v>0</v>
      </c>
      <c r="X13">
        <v>0</v>
      </c>
      <c r="Y13">
        <v>50</v>
      </c>
      <c r="Z13">
        <v>8</v>
      </c>
      <c r="AA13">
        <v>94.753878319826995</v>
      </c>
      <c r="AB13">
        <v>94.753878319826995</v>
      </c>
      <c r="AC13">
        <v>94.753878319826995</v>
      </c>
      <c r="AD13">
        <v>149.54526776437891</v>
      </c>
      <c r="AE13">
        <v>149.54526776437891</v>
      </c>
      <c r="AF13">
        <v>149.54526776437891</v>
      </c>
      <c r="AG13">
        <v>39.256645672482009</v>
      </c>
      <c r="AH13">
        <v>39.256645672482009</v>
      </c>
      <c r="AI13">
        <v>39.256645672482009</v>
      </c>
      <c r="AJ13">
        <v>553.59672865798018</v>
      </c>
      <c r="AK13">
        <v>553.59672865798018</v>
      </c>
      <c r="AL13">
        <v>553.59672865798018</v>
      </c>
      <c r="AP13">
        <v>16.557608956463486</v>
      </c>
      <c r="AQ13">
        <v>16.557608956463486</v>
      </c>
      <c r="AR13">
        <v>16.557608956463486</v>
      </c>
      <c r="AS13">
        <v>1.1581497655905205E-2</v>
      </c>
      <c r="AT13">
        <v>1.1581497655905205E-2</v>
      </c>
      <c r="AU13">
        <v>1.1581497655905205E-2</v>
      </c>
      <c r="BC13" t="s">
        <v>15</v>
      </c>
    </row>
    <row r="14" spans="1:57" x14ac:dyDescent="0.45">
      <c r="A14" t="s">
        <v>53</v>
      </c>
      <c r="B14" t="s">
        <v>306</v>
      </c>
      <c r="C14">
        <v>1</v>
      </c>
      <c r="D14" t="s">
        <v>303</v>
      </c>
      <c r="E14" t="s">
        <v>71</v>
      </c>
      <c r="F14" t="s">
        <v>323</v>
      </c>
      <c r="G14" t="s">
        <v>279</v>
      </c>
      <c r="H14" t="s">
        <v>225</v>
      </c>
      <c r="I14">
        <v>4.5</v>
      </c>
      <c r="J14">
        <v>4.5</v>
      </c>
      <c r="K14">
        <v>4.5</v>
      </c>
      <c r="L14">
        <v>1</v>
      </c>
      <c r="N14">
        <v>0</v>
      </c>
      <c r="O14">
        <v>0</v>
      </c>
      <c r="P14">
        <v>0</v>
      </c>
      <c r="Q14">
        <v>5.4</v>
      </c>
      <c r="R14">
        <v>5.4</v>
      </c>
      <c r="S14">
        <v>5.4</v>
      </c>
      <c r="T14" t="s">
        <v>226</v>
      </c>
      <c r="U14" t="s">
        <v>373</v>
      </c>
      <c r="V14">
        <v>1200</v>
      </c>
      <c r="W14">
        <v>5</v>
      </c>
      <c r="X14">
        <v>0</v>
      </c>
      <c r="Y14">
        <v>0.215</v>
      </c>
      <c r="Z14">
        <v>20.930232558139537</v>
      </c>
      <c r="AA14">
        <v>8.5845268188329023</v>
      </c>
      <c r="AB14">
        <v>8.5845268188329023</v>
      </c>
      <c r="AC14">
        <v>8.5845268188329023</v>
      </c>
      <c r="AD14">
        <v>10.861523684728702</v>
      </c>
      <c r="AE14">
        <v>10.861523684728702</v>
      </c>
      <c r="AF14">
        <v>10.861523684728702</v>
      </c>
      <c r="AG14">
        <v>3.0978425180957716</v>
      </c>
      <c r="AH14">
        <v>3.0978425180957716</v>
      </c>
      <c r="AI14">
        <v>3.0978425180957716</v>
      </c>
      <c r="AJ14">
        <v>205.89156271166578</v>
      </c>
      <c r="AK14">
        <v>205.89156271166578</v>
      </c>
      <c r="AL14">
        <v>205.89156271166578</v>
      </c>
      <c r="AP14">
        <v>1.0439895220025921</v>
      </c>
      <c r="AQ14">
        <v>1.0439895220025921</v>
      </c>
      <c r="AR14">
        <v>1.0439895220025921</v>
      </c>
      <c r="AS14">
        <v>2.0788073179691066E-3</v>
      </c>
      <c r="AT14">
        <v>2.0788073179691066E-3</v>
      </c>
      <c r="AU14">
        <v>2.0788073179691066E-3</v>
      </c>
      <c r="BC14" t="s">
        <v>15</v>
      </c>
    </row>
    <row r="15" spans="1:57" x14ac:dyDescent="0.45">
      <c r="A15" t="s">
        <v>53</v>
      </c>
      <c r="B15" t="s">
        <v>306</v>
      </c>
      <c r="C15">
        <v>1</v>
      </c>
      <c r="D15" t="s">
        <v>303</v>
      </c>
      <c r="E15" t="s">
        <v>71</v>
      </c>
      <c r="F15" t="s">
        <v>321</v>
      </c>
      <c r="G15" t="s">
        <v>256</v>
      </c>
      <c r="H15" t="s">
        <v>225</v>
      </c>
      <c r="I15">
        <v>150</v>
      </c>
      <c r="J15">
        <v>150</v>
      </c>
      <c r="K15">
        <v>150</v>
      </c>
      <c r="L15">
        <v>1</v>
      </c>
      <c r="N15">
        <v>0.15</v>
      </c>
      <c r="O15">
        <v>0.15</v>
      </c>
      <c r="P15">
        <v>0.15</v>
      </c>
      <c r="Q15">
        <v>360</v>
      </c>
      <c r="R15">
        <v>360</v>
      </c>
      <c r="S15">
        <v>360</v>
      </c>
      <c r="T15" t="s">
        <v>226</v>
      </c>
      <c r="U15" t="s">
        <v>376</v>
      </c>
      <c r="V15">
        <v>2400</v>
      </c>
      <c r="W15">
        <v>0</v>
      </c>
      <c r="X15">
        <v>0</v>
      </c>
      <c r="Y15">
        <v>1.4</v>
      </c>
      <c r="Z15">
        <v>107.14285714285715</v>
      </c>
      <c r="AA15">
        <v>434.38885675165795</v>
      </c>
      <c r="AB15">
        <v>434.38885675165795</v>
      </c>
      <c r="AC15">
        <v>434.38885675165795</v>
      </c>
      <c r="AD15">
        <v>465.59575440345964</v>
      </c>
      <c r="AE15">
        <v>465.59575440345964</v>
      </c>
      <c r="AF15">
        <v>465.59575440345964</v>
      </c>
      <c r="AG15">
        <v>83.710457744599083</v>
      </c>
      <c r="AH15">
        <v>83.710457744599083</v>
      </c>
      <c r="AI15">
        <v>83.710457744599083</v>
      </c>
      <c r="AJ15">
        <v>646.64678231362802</v>
      </c>
      <c r="AK15">
        <v>646.64678231362802</v>
      </c>
      <c r="AL15">
        <v>646.64678231362802</v>
      </c>
      <c r="AP15">
        <v>12.044908075038624</v>
      </c>
      <c r="AQ15">
        <v>12.044908075038624</v>
      </c>
      <c r="AR15">
        <v>12.044908075038624</v>
      </c>
      <c r="AS15">
        <v>2.5192635974851219E-2</v>
      </c>
      <c r="AT15">
        <v>2.5192635974851219E-2</v>
      </c>
      <c r="AU15">
        <v>2.5192635974851219E-2</v>
      </c>
      <c r="BC15" t="s">
        <v>15</v>
      </c>
    </row>
    <row r="16" spans="1:57" x14ac:dyDescent="0.45">
      <c r="A16" t="s">
        <v>87</v>
      </c>
      <c r="B16" t="s">
        <v>308</v>
      </c>
      <c r="C16">
        <v>1</v>
      </c>
      <c r="D16" t="s">
        <v>309</v>
      </c>
      <c r="E16" t="s">
        <v>90</v>
      </c>
      <c r="F16" t="s">
        <v>329</v>
      </c>
      <c r="G16" t="s">
        <v>269</v>
      </c>
      <c r="H16" t="s">
        <v>228</v>
      </c>
      <c r="I16">
        <v>140</v>
      </c>
      <c r="J16">
        <v>100</v>
      </c>
      <c r="K16">
        <v>220</v>
      </c>
      <c r="L16">
        <v>1</v>
      </c>
      <c r="N16">
        <v>0.14000000000000001</v>
      </c>
      <c r="O16">
        <v>0.1</v>
      </c>
      <c r="P16">
        <v>0.22</v>
      </c>
      <c r="Q16">
        <v>3.5</v>
      </c>
      <c r="R16">
        <v>2.5</v>
      </c>
      <c r="S16">
        <v>5.5</v>
      </c>
      <c r="T16" t="s">
        <v>378</v>
      </c>
      <c r="U16" t="s">
        <v>379</v>
      </c>
      <c r="V16">
        <v>25</v>
      </c>
      <c r="W16">
        <v>0</v>
      </c>
      <c r="X16">
        <v>0</v>
      </c>
      <c r="Y16">
        <v>0.03</v>
      </c>
      <c r="Z16">
        <v>4666.666666666667</v>
      </c>
      <c r="AA16">
        <v>7.3511986989897053</v>
      </c>
      <c r="AB16">
        <v>5.2508562135640746</v>
      </c>
      <c r="AC16">
        <v>11.551883669840965</v>
      </c>
      <c r="AD16">
        <v>8.6144965316856617</v>
      </c>
      <c r="AE16">
        <v>6.1532118083469003</v>
      </c>
      <c r="AF16">
        <v>13.537065978363181</v>
      </c>
      <c r="AG16">
        <v>12.855238483464827</v>
      </c>
      <c r="AH16">
        <v>9.1823132024748748</v>
      </c>
      <c r="AI16">
        <v>20.201089045444725</v>
      </c>
      <c r="AJ16">
        <v>301.75863394941285</v>
      </c>
      <c r="AK16">
        <v>215.54188139243774</v>
      </c>
      <c r="AL16">
        <v>474.19213906336302</v>
      </c>
      <c r="AP16">
        <v>9.2672296315016975</v>
      </c>
      <c r="AQ16">
        <v>6.6194497367869252</v>
      </c>
      <c r="AR16">
        <v>14.562789420931235</v>
      </c>
      <c r="AS16">
        <v>4.3440498929561335E-3</v>
      </c>
      <c r="AT16">
        <v>3.1028927806829526E-3</v>
      </c>
      <c r="AU16">
        <v>6.8263641175024953E-3</v>
      </c>
      <c r="BC16" t="s">
        <v>15</v>
      </c>
    </row>
    <row r="17" spans="1:55" x14ac:dyDescent="0.45">
      <c r="A17" t="s">
        <v>87</v>
      </c>
      <c r="B17" t="s">
        <v>308</v>
      </c>
      <c r="C17">
        <v>1</v>
      </c>
      <c r="D17" t="s">
        <v>309</v>
      </c>
      <c r="E17" t="s">
        <v>90</v>
      </c>
      <c r="F17" t="s">
        <v>310</v>
      </c>
      <c r="G17" t="s">
        <v>252</v>
      </c>
      <c r="H17" t="s">
        <v>225</v>
      </c>
      <c r="I17">
        <v>15</v>
      </c>
      <c r="J17">
        <v>15</v>
      </c>
      <c r="K17">
        <v>15</v>
      </c>
      <c r="L17">
        <v>1</v>
      </c>
      <c r="N17">
        <v>0.02</v>
      </c>
      <c r="O17">
        <v>0.02</v>
      </c>
      <c r="P17">
        <v>0.02</v>
      </c>
      <c r="Q17">
        <v>15.75</v>
      </c>
      <c r="R17">
        <v>15.75</v>
      </c>
      <c r="S17">
        <v>15.75</v>
      </c>
      <c r="T17" t="s">
        <v>252</v>
      </c>
      <c r="U17" t="s">
        <v>381</v>
      </c>
      <c r="V17">
        <v>1050</v>
      </c>
      <c r="W17">
        <v>0</v>
      </c>
      <c r="X17">
        <v>0</v>
      </c>
      <c r="Y17">
        <v>1</v>
      </c>
      <c r="Z17">
        <v>15</v>
      </c>
      <c r="AA17">
        <v>19.102641975961582</v>
      </c>
      <c r="AB17">
        <v>19.102641975961582</v>
      </c>
      <c r="AC17">
        <v>19.102641975961582</v>
      </c>
      <c r="AD17">
        <v>19.894952377912816</v>
      </c>
      <c r="AE17">
        <v>19.894952377912816</v>
      </c>
      <c r="AF17">
        <v>19.894952377912816</v>
      </c>
      <c r="AG17">
        <v>1.8596920563101473</v>
      </c>
      <c r="AH17">
        <v>1.8596920563101473</v>
      </c>
      <c r="AI17">
        <v>1.8596920563101473</v>
      </c>
      <c r="AJ17">
        <v>26.945451563913227</v>
      </c>
      <c r="AK17">
        <v>26.945451563913227</v>
      </c>
      <c r="AL17">
        <v>26.945451563913227</v>
      </c>
      <c r="AP17">
        <v>1.9586296940800589</v>
      </c>
      <c r="AQ17">
        <v>1.9586296940800589</v>
      </c>
      <c r="AR17">
        <v>1.9586296940800589</v>
      </c>
      <c r="AS17">
        <v>1.0580831622736952E-3</v>
      </c>
      <c r="AT17">
        <v>1.0580831622736952E-3</v>
      </c>
      <c r="AU17">
        <v>1.0580831622736952E-3</v>
      </c>
      <c r="BC17" t="s">
        <v>15</v>
      </c>
    </row>
    <row r="18" spans="1:55" x14ac:dyDescent="0.45">
      <c r="A18" t="s">
        <v>87</v>
      </c>
      <c r="B18" t="s">
        <v>308</v>
      </c>
      <c r="C18">
        <v>1</v>
      </c>
      <c r="D18" t="s">
        <v>309</v>
      </c>
      <c r="E18" t="s">
        <v>90</v>
      </c>
      <c r="F18" t="s">
        <v>264</v>
      </c>
      <c r="G18" t="s">
        <v>264</v>
      </c>
      <c r="H18" t="s">
        <v>225</v>
      </c>
      <c r="I18">
        <v>175</v>
      </c>
      <c r="J18">
        <v>175</v>
      </c>
      <c r="K18">
        <v>175</v>
      </c>
      <c r="L18">
        <v>1</v>
      </c>
      <c r="N18">
        <v>0.18</v>
      </c>
      <c r="O18">
        <v>0.18</v>
      </c>
      <c r="P18">
        <v>0.18</v>
      </c>
      <c r="Q18">
        <v>350</v>
      </c>
      <c r="R18">
        <v>350</v>
      </c>
      <c r="S18">
        <v>350</v>
      </c>
      <c r="T18" t="s">
        <v>383</v>
      </c>
      <c r="U18" t="s">
        <v>384</v>
      </c>
      <c r="V18">
        <v>2000</v>
      </c>
      <c r="W18">
        <v>0</v>
      </c>
      <c r="X18">
        <v>0</v>
      </c>
      <c r="Y18">
        <v>0.9</v>
      </c>
      <c r="Z18">
        <v>194.44444444444443</v>
      </c>
      <c r="AA18">
        <v>426.25431281493201</v>
      </c>
      <c r="AB18">
        <v>426.25431281493201</v>
      </c>
      <c r="AC18">
        <v>426.25431281493201</v>
      </c>
      <c r="AD18">
        <v>435.89904950309898</v>
      </c>
      <c r="AE18">
        <v>435.89904950309898</v>
      </c>
      <c r="AF18">
        <v>435.89904950309898</v>
      </c>
      <c r="AG18">
        <v>51.831618606228297</v>
      </c>
      <c r="AH18">
        <v>51.831618606228297</v>
      </c>
      <c r="AI18">
        <v>51.831618606228297</v>
      </c>
      <c r="AJ18">
        <v>407.24317030097745</v>
      </c>
      <c r="AK18">
        <v>407.24317030097745</v>
      </c>
      <c r="AL18">
        <v>407.24317030097745</v>
      </c>
      <c r="AP18">
        <v>22.186027049375522</v>
      </c>
      <c r="AQ18">
        <v>22.186027049375522</v>
      </c>
      <c r="AR18">
        <v>22.186027049375522</v>
      </c>
      <c r="AS18">
        <v>2.1260334404191505E-2</v>
      </c>
      <c r="AT18">
        <v>2.1260334404191505E-2</v>
      </c>
      <c r="AU18">
        <v>2.1260334404191505E-2</v>
      </c>
      <c r="BC18" t="s">
        <v>15</v>
      </c>
    </row>
    <row r="19" spans="1:55" x14ac:dyDescent="0.45">
      <c r="A19" t="s">
        <v>87</v>
      </c>
      <c r="B19" t="s">
        <v>311</v>
      </c>
      <c r="C19">
        <v>4</v>
      </c>
      <c r="D19" t="s">
        <v>312</v>
      </c>
      <c r="E19" t="s">
        <v>97</v>
      </c>
      <c r="F19" t="s">
        <v>331</v>
      </c>
      <c r="G19" t="s">
        <v>227</v>
      </c>
      <c r="H19" t="s">
        <v>228</v>
      </c>
      <c r="I19">
        <v>120</v>
      </c>
      <c r="J19">
        <v>80</v>
      </c>
      <c r="K19">
        <v>200</v>
      </c>
      <c r="L19">
        <v>1</v>
      </c>
      <c r="N19">
        <v>0.12</v>
      </c>
      <c r="O19">
        <v>0.08</v>
      </c>
      <c r="P19">
        <v>0.2</v>
      </c>
      <c r="Q19">
        <v>5.55</v>
      </c>
      <c r="R19">
        <v>3.7</v>
      </c>
      <c r="S19">
        <v>9.25</v>
      </c>
      <c r="T19" t="s">
        <v>227</v>
      </c>
      <c r="U19" t="s">
        <v>387</v>
      </c>
      <c r="V19">
        <v>46.25</v>
      </c>
      <c r="W19">
        <v>0</v>
      </c>
      <c r="X19">
        <v>0</v>
      </c>
      <c r="Y19">
        <v>4.2000000000000003E-2</v>
      </c>
      <c r="Z19">
        <v>2857.1428571428569</v>
      </c>
      <c r="AA19">
        <v>10.695183985712411</v>
      </c>
      <c r="AB19">
        <v>7.1301226571416088</v>
      </c>
      <c r="AC19">
        <v>17.82530664285402</v>
      </c>
      <c r="AD19">
        <v>12.97922231021659</v>
      </c>
      <c r="AE19">
        <v>8.6528148734777286</v>
      </c>
      <c r="AF19">
        <v>21.632037183694319</v>
      </c>
      <c r="AG19">
        <v>5.4935611125903199</v>
      </c>
      <c r="AH19">
        <v>3.6623740750602138</v>
      </c>
      <c r="AI19">
        <v>9.1559351876505346</v>
      </c>
      <c r="AJ19">
        <v>118.07336116942452</v>
      </c>
      <c r="AK19">
        <v>78.715574112949682</v>
      </c>
      <c r="AL19">
        <v>196.78893528237421</v>
      </c>
      <c r="AP19">
        <v>6.0144984071618559</v>
      </c>
      <c r="AQ19">
        <v>4.0096656047745709</v>
      </c>
      <c r="AR19">
        <v>10.024164011936426</v>
      </c>
      <c r="AS19">
        <v>2.1674690482342586E-3</v>
      </c>
      <c r="AT19">
        <v>1.4449793654895062E-3</v>
      </c>
      <c r="AU19">
        <v>3.6124484137237648E-3</v>
      </c>
      <c r="BC19" t="s">
        <v>15</v>
      </c>
    </row>
    <row r="20" spans="1:55" x14ac:dyDescent="0.45">
      <c r="A20" t="s">
        <v>87</v>
      </c>
      <c r="B20" t="s">
        <v>311</v>
      </c>
      <c r="C20">
        <v>4</v>
      </c>
      <c r="D20" t="s">
        <v>312</v>
      </c>
      <c r="E20" t="s">
        <v>97</v>
      </c>
      <c r="F20" t="s">
        <v>310</v>
      </c>
      <c r="G20" t="s">
        <v>252</v>
      </c>
      <c r="H20" t="s">
        <v>225</v>
      </c>
      <c r="I20">
        <v>15</v>
      </c>
      <c r="J20">
        <v>15</v>
      </c>
      <c r="K20">
        <v>15</v>
      </c>
      <c r="L20">
        <v>1</v>
      </c>
      <c r="N20">
        <v>0.02</v>
      </c>
      <c r="O20">
        <v>0.02</v>
      </c>
      <c r="P20">
        <v>0.02</v>
      </c>
      <c r="Q20">
        <v>15.75</v>
      </c>
      <c r="R20">
        <v>15.75</v>
      </c>
      <c r="S20">
        <v>15.75</v>
      </c>
      <c r="T20" t="s">
        <v>226</v>
      </c>
      <c r="U20" t="s">
        <v>381</v>
      </c>
      <c r="V20">
        <v>1050</v>
      </c>
      <c r="W20">
        <v>0</v>
      </c>
      <c r="X20">
        <v>0</v>
      </c>
      <c r="Y20">
        <v>1</v>
      </c>
      <c r="Z20">
        <v>15</v>
      </c>
      <c r="AA20">
        <v>19.102641975961582</v>
      </c>
      <c r="AB20">
        <v>19.102641975961582</v>
      </c>
      <c r="AC20">
        <v>19.102641975961582</v>
      </c>
      <c r="AD20">
        <v>19.894952377912816</v>
      </c>
      <c r="AE20">
        <v>19.894952377912816</v>
      </c>
      <c r="AF20">
        <v>19.894952377912816</v>
      </c>
      <c r="AG20">
        <v>1.8596920563101473</v>
      </c>
      <c r="AH20">
        <v>1.8596920563101473</v>
      </c>
      <c r="AI20">
        <v>1.8596920563101473</v>
      </c>
      <c r="AJ20">
        <v>26.945451563913227</v>
      </c>
      <c r="AK20">
        <v>26.945451563913227</v>
      </c>
      <c r="AL20">
        <v>26.945451563913227</v>
      </c>
      <c r="AP20">
        <v>1.9586296940800589</v>
      </c>
      <c r="AQ20">
        <v>1.9586296940800589</v>
      </c>
      <c r="AR20">
        <v>1.9586296940800589</v>
      </c>
      <c r="AS20">
        <v>1.0580831622736952E-3</v>
      </c>
      <c r="AT20">
        <v>1.0580831622736952E-3</v>
      </c>
      <c r="AU20">
        <v>1.0580831622736952E-3</v>
      </c>
      <c r="BC20" t="s">
        <v>15</v>
      </c>
    </row>
    <row r="21" spans="1:55" x14ac:dyDescent="0.45">
      <c r="A21" t="s">
        <v>87</v>
      </c>
      <c r="B21" t="s">
        <v>311</v>
      </c>
      <c r="C21">
        <v>4</v>
      </c>
      <c r="D21" t="s">
        <v>312</v>
      </c>
      <c r="E21" t="s">
        <v>97</v>
      </c>
      <c r="F21" t="s">
        <v>328</v>
      </c>
      <c r="G21" t="s">
        <v>266</v>
      </c>
      <c r="H21" t="s">
        <v>225</v>
      </c>
      <c r="I21">
        <v>240</v>
      </c>
      <c r="J21">
        <v>240</v>
      </c>
      <c r="K21">
        <v>240</v>
      </c>
      <c r="L21">
        <v>1</v>
      </c>
      <c r="N21">
        <v>0.24</v>
      </c>
      <c r="O21">
        <v>0.24</v>
      </c>
      <c r="P21">
        <v>0.24</v>
      </c>
      <c r="Q21">
        <v>138</v>
      </c>
      <c r="R21">
        <v>138</v>
      </c>
      <c r="S21">
        <v>138</v>
      </c>
      <c r="T21" t="s">
        <v>389</v>
      </c>
      <c r="U21" t="s">
        <v>390</v>
      </c>
      <c r="V21">
        <v>575</v>
      </c>
      <c r="W21">
        <v>0</v>
      </c>
      <c r="X21">
        <v>0</v>
      </c>
      <c r="Y21">
        <v>1.1000000000000001</v>
      </c>
      <c r="Z21">
        <v>218.18181818181816</v>
      </c>
      <c r="AA21">
        <v>208.37308201480639</v>
      </c>
      <c r="AB21">
        <v>208.37308201480639</v>
      </c>
      <c r="AC21">
        <v>208.37308201480639</v>
      </c>
      <c r="AD21">
        <v>454.73860772828544</v>
      </c>
      <c r="AE21">
        <v>454.73860772828544</v>
      </c>
      <c r="AF21">
        <v>454.73860772828544</v>
      </c>
      <c r="AG21">
        <v>33.459580284616145</v>
      </c>
      <c r="AH21">
        <v>33.459580284616145</v>
      </c>
      <c r="AI21">
        <v>33.459580284616145</v>
      </c>
      <c r="AJ21">
        <v>369.70430638014756</v>
      </c>
      <c r="AK21">
        <v>369.70430638014756</v>
      </c>
      <c r="AL21">
        <v>369.70430638014756</v>
      </c>
      <c r="AP21">
        <v>3.4691369163803656</v>
      </c>
      <c r="AQ21">
        <v>3.4691369163803656</v>
      </c>
      <c r="AR21">
        <v>3.4691369163803656</v>
      </c>
      <c r="AS21">
        <v>1.1696495000328577E-2</v>
      </c>
      <c r="AT21">
        <v>1.1696495000328577E-2</v>
      </c>
      <c r="AU21">
        <v>1.1696495000328577E-2</v>
      </c>
      <c r="BC21" t="s">
        <v>15</v>
      </c>
    </row>
    <row r="22" spans="1:55" x14ac:dyDescent="0.45">
      <c r="A22" t="s">
        <v>87</v>
      </c>
      <c r="B22" t="s">
        <v>308</v>
      </c>
      <c r="C22">
        <v>2</v>
      </c>
      <c r="D22" t="s">
        <v>313</v>
      </c>
      <c r="E22" t="s">
        <v>93</v>
      </c>
      <c r="F22" t="s">
        <v>310</v>
      </c>
      <c r="G22" t="s">
        <v>252</v>
      </c>
      <c r="H22" t="s">
        <v>225</v>
      </c>
      <c r="I22">
        <v>15</v>
      </c>
      <c r="J22">
        <v>15</v>
      </c>
      <c r="K22">
        <v>15</v>
      </c>
      <c r="L22">
        <v>1</v>
      </c>
      <c r="N22">
        <v>0.02</v>
      </c>
      <c r="O22">
        <v>0.02</v>
      </c>
      <c r="P22">
        <v>0.02</v>
      </c>
      <c r="Q22">
        <v>15.75</v>
      </c>
      <c r="R22">
        <v>15.75</v>
      </c>
      <c r="S22">
        <v>15.75</v>
      </c>
      <c r="T22" t="s">
        <v>378</v>
      </c>
      <c r="U22" t="s">
        <v>381</v>
      </c>
      <c r="V22">
        <v>1050</v>
      </c>
      <c r="W22">
        <v>0</v>
      </c>
      <c r="X22">
        <v>0</v>
      </c>
      <c r="Y22">
        <v>1</v>
      </c>
      <c r="Z22">
        <v>15</v>
      </c>
      <c r="AA22">
        <v>19.102641975961582</v>
      </c>
      <c r="AB22">
        <v>19.102641975961582</v>
      </c>
      <c r="AC22">
        <v>19.102641975961582</v>
      </c>
      <c r="AD22">
        <v>19.894952377912816</v>
      </c>
      <c r="AE22">
        <v>19.894952377912816</v>
      </c>
      <c r="AF22">
        <v>19.894952377912816</v>
      </c>
      <c r="AG22">
        <v>1.8596920563101473</v>
      </c>
      <c r="AH22">
        <v>1.8596920563101473</v>
      </c>
      <c r="AI22">
        <v>1.8596920563101473</v>
      </c>
      <c r="AJ22">
        <v>26.945451563913227</v>
      </c>
      <c r="AK22">
        <v>26.945451563913227</v>
      </c>
      <c r="AL22">
        <v>26.945451563913227</v>
      </c>
      <c r="AP22">
        <v>1.9586296940800589</v>
      </c>
      <c r="AQ22">
        <v>1.9586296940800589</v>
      </c>
      <c r="AR22">
        <v>1.9586296940800589</v>
      </c>
      <c r="AS22">
        <v>1.0580831622736952E-3</v>
      </c>
      <c r="AT22">
        <v>1.0580831622736952E-3</v>
      </c>
      <c r="AU22">
        <v>1.0580831622736952E-3</v>
      </c>
      <c r="BC22" t="s">
        <v>15</v>
      </c>
    </row>
    <row r="23" spans="1:55" x14ac:dyDescent="0.45">
      <c r="A23" t="s">
        <v>87</v>
      </c>
      <c r="B23" t="s">
        <v>308</v>
      </c>
      <c r="C23">
        <v>2</v>
      </c>
      <c r="D23" t="s">
        <v>313</v>
      </c>
      <c r="E23" t="s">
        <v>93</v>
      </c>
      <c r="F23" t="s">
        <v>324</v>
      </c>
      <c r="G23" t="s">
        <v>240</v>
      </c>
      <c r="H23" t="s">
        <v>225</v>
      </c>
      <c r="I23">
        <v>12.5</v>
      </c>
      <c r="J23">
        <v>12.5</v>
      </c>
      <c r="K23">
        <v>12.5</v>
      </c>
      <c r="L23">
        <v>1</v>
      </c>
      <c r="N23">
        <v>0.01</v>
      </c>
      <c r="O23">
        <v>0.01</v>
      </c>
      <c r="P23">
        <v>0.01</v>
      </c>
      <c r="Q23">
        <v>10</v>
      </c>
      <c r="R23">
        <v>10</v>
      </c>
      <c r="S23">
        <v>10</v>
      </c>
      <c r="T23" t="s">
        <v>252</v>
      </c>
      <c r="U23" t="s">
        <v>392</v>
      </c>
      <c r="V23">
        <v>800</v>
      </c>
      <c r="W23">
        <v>10</v>
      </c>
      <c r="X23">
        <v>0</v>
      </c>
      <c r="Y23">
        <v>0.2</v>
      </c>
      <c r="Z23">
        <v>62.5</v>
      </c>
      <c r="AA23">
        <v>9.6885190926662101</v>
      </c>
      <c r="AB23">
        <v>9.6885190926662101</v>
      </c>
      <c r="AC23">
        <v>9.6885190926662101</v>
      </c>
      <c r="AD23">
        <v>10.504992021872901</v>
      </c>
      <c r="AE23">
        <v>10.504992021872901</v>
      </c>
      <c r="AF23">
        <v>10.504992021872901</v>
      </c>
      <c r="AG23">
        <v>2.5140556386449697</v>
      </c>
      <c r="AH23">
        <v>2.5140556386449697</v>
      </c>
      <c r="AI23">
        <v>2.5140556386449697</v>
      </c>
      <c r="AJ23">
        <v>38.560990916917703</v>
      </c>
      <c r="AK23">
        <v>38.560990916917703</v>
      </c>
      <c r="AL23">
        <v>38.560990916917703</v>
      </c>
      <c r="AP23">
        <v>1.2506783392176499</v>
      </c>
      <c r="AQ23">
        <v>1.2506783392176499</v>
      </c>
      <c r="AR23">
        <v>1.2506783392176499</v>
      </c>
      <c r="AS23">
        <v>8.7990794098609262E-4</v>
      </c>
      <c r="AT23">
        <v>8.7990794098609262E-4</v>
      </c>
      <c r="AU23">
        <v>8.7990794098609262E-4</v>
      </c>
      <c r="BC23" t="s">
        <v>15</v>
      </c>
    </row>
    <row r="24" spans="1:55" x14ac:dyDescent="0.45">
      <c r="A24" t="s">
        <v>87</v>
      </c>
      <c r="B24" t="s">
        <v>308</v>
      </c>
      <c r="C24">
        <v>2</v>
      </c>
      <c r="D24" t="s">
        <v>313</v>
      </c>
      <c r="E24" t="s">
        <v>93</v>
      </c>
      <c r="F24" t="s">
        <v>333</v>
      </c>
      <c r="G24" t="s">
        <v>271</v>
      </c>
      <c r="H24" t="s">
        <v>228</v>
      </c>
      <c r="I24">
        <v>175</v>
      </c>
      <c r="J24">
        <v>135</v>
      </c>
      <c r="K24">
        <v>255</v>
      </c>
      <c r="L24">
        <v>1</v>
      </c>
      <c r="N24">
        <v>0.18</v>
      </c>
      <c r="O24">
        <v>0.14000000000000001</v>
      </c>
      <c r="P24">
        <v>0.26</v>
      </c>
      <c r="Q24">
        <v>6.65</v>
      </c>
      <c r="R24">
        <v>5.13</v>
      </c>
      <c r="S24">
        <v>9.69</v>
      </c>
      <c r="T24" t="s">
        <v>383</v>
      </c>
      <c r="U24" t="s">
        <v>395</v>
      </c>
      <c r="V24">
        <v>38</v>
      </c>
      <c r="W24">
        <v>0</v>
      </c>
      <c r="X24">
        <v>0</v>
      </c>
      <c r="Y24">
        <v>4.4999999999999998E-2</v>
      </c>
      <c r="Z24">
        <v>3888.8888888888891</v>
      </c>
      <c r="AA24">
        <v>16.060091964094262</v>
      </c>
      <c r="AB24">
        <v>12.389213800872721</v>
      </c>
      <c r="AC24">
        <v>23.401848290537355</v>
      </c>
      <c r="AD24">
        <v>10.431938828820904</v>
      </c>
      <c r="AE24">
        <v>8.0474956679475564</v>
      </c>
      <c r="AF24">
        <v>15.200825150567605</v>
      </c>
      <c r="AG24">
        <v>6.7629359725212206</v>
      </c>
      <c r="AH24">
        <v>5.2171220359449428</v>
      </c>
      <c r="AI24">
        <v>9.8545638456737787</v>
      </c>
      <c r="AJ24">
        <v>127.73043493029127</v>
      </c>
      <c r="AK24">
        <v>98.534906946224709</v>
      </c>
      <c r="AL24">
        <v>186.12149089842441</v>
      </c>
      <c r="AP24">
        <v>3.1841594973425664</v>
      </c>
      <c r="AQ24">
        <v>2.4563516122356948</v>
      </c>
      <c r="AR24">
        <v>4.6397752675563115</v>
      </c>
      <c r="AS24">
        <v>2.2483079357832675E-3</v>
      </c>
      <c r="AT24">
        <v>1.7344089790328066E-3</v>
      </c>
      <c r="AU24">
        <v>3.2761058492841899E-3</v>
      </c>
      <c r="BC24" t="s">
        <v>15</v>
      </c>
    </row>
    <row r="25" spans="1:55" x14ac:dyDescent="0.45">
      <c r="A25" t="s">
        <v>87</v>
      </c>
      <c r="B25" t="s">
        <v>308</v>
      </c>
      <c r="C25">
        <v>2</v>
      </c>
      <c r="D25" t="s">
        <v>313</v>
      </c>
      <c r="E25" t="s">
        <v>93</v>
      </c>
      <c r="F25" t="s">
        <v>264</v>
      </c>
      <c r="G25" t="s">
        <v>264</v>
      </c>
      <c r="H25" t="s">
        <v>225</v>
      </c>
      <c r="I25">
        <v>120</v>
      </c>
      <c r="J25">
        <v>120</v>
      </c>
      <c r="K25">
        <v>120</v>
      </c>
      <c r="L25">
        <v>1</v>
      </c>
      <c r="N25">
        <v>0.12</v>
      </c>
      <c r="O25">
        <v>0.12</v>
      </c>
      <c r="P25">
        <v>0.12</v>
      </c>
      <c r="Q25">
        <v>240</v>
      </c>
      <c r="R25">
        <v>240</v>
      </c>
      <c r="S25">
        <v>240</v>
      </c>
      <c r="U25" t="s">
        <v>384</v>
      </c>
      <c r="V25">
        <v>2000</v>
      </c>
      <c r="W25">
        <v>0</v>
      </c>
      <c r="X25">
        <v>0</v>
      </c>
      <c r="Y25">
        <v>0.9</v>
      </c>
      <c r="Z25">
        <v>133.33333333333334</v>
      </c>
      <c r="AA25">
        <v>292.28867164452481</v>
      </c>
      <c r="AB25">
        <v>292.28867164452481</v>
      </c>
      <c r="AC25">
        <v>292.28867164452481</v>
      </c>
      <c r="AD25">
        <v>298.90220537355356</v>
      </c>
      <c r="AE25">
        <v>298.90220537355356</v>
      </c>
      <c r="AF25">
        <v>298.90220537355356</v>
      </c>
      <c r="AG25">
        <v>35.541681329985117</v>
      </c>
      <c r="AH25">
        <v>35.541681329985117</v>
      </c>
      <c r="AI25">
        <v>35.541681329985117</v>
      </c>
      <c r="AJ25">
        <v>279.25245963495598</v>
      </c>
      <c r="AK25">
        <v>279.25245963495598</v>
      </c>
      <c r="AL25">
        <v>279.25245963495598</v>
      </c>
      <c r="AP25">
        <v>15.213275691000359</v>
      </c>
      <c r="AQ25">
        <v>15.213275691000359</v>
      </c>
      <c r="AR25">
        <v>15.213275691000359</v>
      </c>
      <c r="AS25">
        <v>1.4578515020017032E-2</v>
      </c>
      <c r="AT25">
        <v>1.4578515020017032E-2</v>
      </c>
      <c r="AU25">
        <v>1.4578515020017032E-2</v>
      </c>
      <c r="BC25" t="s">
        <v>15</v>
      </c>
    </row>
    <row r="26" spans="1:55" x14ac:dyDescent="0.45">
      <c r="A26" t="s">
        <v>87</v>
      </c>
      <c r="B26" t="s">
        <v>308</v>
      </c>
      <c r="C26">
        <v>3</v>
      </c>
      <c r="D26" t="s">
        <v>314</v>
      </c>
      <c r="E26" t="s">
        <v>96</v>
      </c>
      <c r="F26" t="s">
        <v>310</v>
      </c>
      <c r="G26" t="s">
        <v>252</v>
      </c>
      <c r="H26" t="s">
        <v>225</v>
      </c>
      <c r="I26">
        <v>15</v>
      </c>
      <c r="J26">
        <v>15</v>
      </c>
      <c r="K26">
        <v>15</v>
      </c>
      <c r="L26">
        <v>1</v>
      </c>
      <c r="N26">
        <v>0.02</v>
      </c>
      <c r="O26">
        <v>0.02</v>
      </c>
      <c r="P26">
        <v>0.02</v>
      </c>
      <c r="Q26">
        <v>15.75</v>
      </c>
      <c r="R26">
        <v>15.75</v>
      </c>
      <c r="S26">
        <v>15.75</v>
      </c>
      <c r="U26" t="s">
        <v>381</v>
      </c>
      <c r="V26">
        <v>1050</v>
      </c>
      <c r="W26">
        <v>0</v>
      </c>
      <c r="X26">
        <v>0</v>
      </c>
      <c r="Y26">
        <v>1</v>
      </c>
      <c r="Z26">
        <v>15</v>
      </c>
      <c r="AA26">
        <v>19.102641975961582</v>
      </c>
      <c r="AB26">
        <v>19.102641975961582</v>
      </c>
      <c r="AC26">
        <v>19.102641975961582</v>
      </c>
      <c r="AD26">
        <v>19.894952377912816</v>
      </c>
      <c r="AE26">
        <v>19.894952377912816</v>
      </c>
      <c r="AF26">
        <v>19.894952377912816</v>
      </c>
      <c r="AG26">
        <v>1.8596920563101473</v>
      </c>
      <c r="AH26">
        <v>1.8596920563101473</v>
      </c>
      <c r="AI26">
        <v>1.8596920563101473</v>
      </c>
      <c r="AJ26">
        <v>26.945451563913227</v>
      </c>
      <c r="AK26">
        <v>26.945451563913227</v>
      </c>
      <c r="AL26">
        <v>26.945451563913227</v>
      </c>
      <c r="AP26">
        <v>1.9586296940800589</v>
      </c>
      <c r="AQ26">
        <v>1.9586296940800589</v>
      </c>
      <c r="AR26">
        <v>1.9586296940800589</v>
      </c>
      <c r="AS26">
        <v>1.0580831622736952E-3</v>
      </c>
      <c r="AT26">
        <v>1.0580831622736952E-3</v>
      </c>
      <c r="AU26">
        <v>1.0580831622736952E-3</v>
      </c>
      <c r="BC26" t="s">
        <v>15</v>
      </c>
    </row>
    <row r="27" spans="1:55" x14ac:dyDescent="0.45">
      <c r="A27" t="s">
        <v>87</v>
      </c>
      <c r="B27" t="s">
        <v>308</v>
      </c>
      <c r="C27">
        <v>3</v>
      </c>
      <c r="D27" t="s">
        <v>314</v>
      </c>
      <c r="E27" t="s">
        <v>96</v>
      </c>
      <c r="F27" t="s">
        <v>324</v>
      </c>
      <c r="G27" t="s">
        <v>240</v>
      </c>
      <c r="H27" t="s">
        <v>225</v>
      </c>
      <c r="I27">
        <v>12.5</v>
      </c>
      <c r="J27">
        <v>12.5</v>
      </c>
      <c r="K27">
        <v>12.5</v>
      </c>
      <c r="L27">
        <v>1</v>
      </c>
      <c r="N27">
        <v>0.01</v>
      </c>
      <c r="O27">
        <v>0.01</v>
      </c>
      <c r="P27">
        <v>0.01</v>
      </c>
      <c r="Q27">
        <v>10</v>
      </c>
      <c r="R27">
        <v>10</v>
      </c>
      <c r="S27">
        <v>10</v>
      </c>
      <c r="U27" t="s">
        <v>392</v>
      </c>
      <c r="V27">
        <v>800</v>
      </c>
      <c r="W27">
        <v>10</v>
      </c>
      <c r="X27">
        <v>0</v>
      </c>
      <c r="Y27">
        <v>0.2</v>
      </c>
      <c r="Z27">
        <v>62.5</v>
      </c>
      <c r="AA27">
        <v>9.6885190926662101</v>
      </c>
      <c r="AB27">
        <v>9.6885190926662101</v>
      </c>
      <c r="AC27">
        <v>9.6885190926662101</v>
      </c>
      <c r="AD27">
        <v>10.504992021872901</v>
      </c>
      <c r="AE27">
        <v>10.504992021872901</v>
      </c>
      <c r="AF27">
        <v>10.504992021872901</v>
      </c>
      <c r="AG27">
        <v>2.5140556386449697</v>
      </c>
      <c r="AH27">
        <v>2.5140556386449697</v>
      </c>
      <c r="AI27">
        <v>2.5140556386449697</v>
      </c>
      <c r="AJ27">
        <v>38.560990916917703</v>
      </c>
      <c r="AK27">
        <v>38.560990916917703</v>
      </c>
      <c r="AL27">
        <v>38.560990916917703</v>
      </c>
      <c r="AP27">
        <v>1.2506783392176499</v>
      </c>
      <c r="AQ27">
        <v>1.2506783392176499</v>
      </c>
      <c r="AR27">
        <v>1.2506783392176499</v>
      </c>
      <c r="AS27">
        <v>8.7990794098609262E-4</v>
      </c>
      <c r="AT27">
        <v>8.7990794098609262E-4</v>
      </c>
      <c r="AU27">
        <v>8.7990794098609262E-4</v>
      </c>
      <c r="BC27" t="s">
        <v>15</v>
      </c>
    </row>
    <row r="28" spans="1:55" x14ac:dyDescent="0.45">
      <c r="A28" t="s">
        <v>87</v>
      </c>
      <c r="B28" t="s">
        <v>308</v>
      </c>
      <c r="C28">
        <v>3</v>
      </c>
      <c r="D28" t="s">
        <v>314</v>
      </c>
      <c r="E28" t="s">
        <v>96</v>
      </c>
      <c r="F28" t="s">
        <v>333</v>
      </c>
      <c r="G28" t="s">
        <v>276</v>
      </c>
      <c r="H28" t="s">
        <v>228</v>
      </c>
      <c r="I28">
        <v>120</v>
      </c>
      <c r="J28">
        <v>80</v>
      </c>
      <c r="K28">
        <v>200</v>
      </c>
      <c r="L28">
        <v>1</v>
      </c>
      <c r="N28">
        <v>0.12</v>
      </c>
      <c r="O28">
        <v>0.08</v>
      </c>
      <c r="P28">
        <v>0.2</v>
      </c>
      <c r="Q28">
        <v>9.6</v>
      </c>
      <c r="R28">
        <v>6.4</v>
      </c>
      <c r="S28">
        <v>16</v>
      </c>
      <c r="U28" t="s">
        <v>398</v>
      </c>
      <c r="V28">
        <v>80</v>
      </c>
      <c r="W28">
        <v>0</v>
      </c>
      <c r="X28">
        <v>0</v>
      </c>
      <c r="Y28">
        <v>3.9E-2</v>
      </c>
      <c r="Z28">
        <v>3076.9230769230771</v>
      </c>
      <c r="AA28">
        <v>14.796094396431119</v>
      </c>
      <c r="AB28">
        <v>9.8640629309540806</v>
      </c>
      <c r="AC28">
        <v>24.6601573273852</v>
      </c>
      <c r="AD28">
        <v>18.685303416284039</v>
      </c>
      <c r="AE28">
        <v>12.45686894418936</v>
      </c>
      <c r="AF28">
        <v>31.142172360473399</v>
      </c>
      <c r="AG28">
        <v>6.0111809791005832</v>
      </c>
      <c r="AH28">
        <v>4.0074539860670555</v>
      </c>
      <c r="AI28">
        <v>10.018634965167639</v>
      </c>
      <c r="AJ28">
        <v>94.379216003413674</v>
      </c>
      <c r="AK28">
        <v>62.919477335609123</v>
      </c>
      <c r="AL28">
        <v>157.2986933390228</v>
      </c>
      <c r="AP28">
        <v>0.75341689420370306</v>
      </c>
      <c r="AQ28">
        <v>0.50227792946913541</v>
      </c>
      <c r="AR28">
        <v>1.2556948236728385</v>
      </c>
      <c r="AS28">
        <v>1.692173583008357E-3</v>
      </c>
      <c r="AT28">
        <v>1.1281157220055713E-3</v>
      </c>
      <c r="AU28">
        <v>2.8202893050139283E-3</v>
      </c>
      <c r="BC28" t="s">
        <v>15</v>
      </c>
    </row>
    <row r="29" spans="1:55" x14ac:dyDescent="0.45">
      <c r="A29" t="s">
        <v>87</v>
      </c>
      <c r="B29" t="s">
        <v>308</v>
      </c>
      <c r="C29">
        <v>3</v>
      </c>
      <c r="D29" t="s">
        <v>314</v>
      </c>
      <c r="E29" t="s">
        <v>96</v>
      </c>
      <c r="F29" t="s">
        <v>264</v>
      </c>
      <c r="G29" t="s">
        <v>264</v>
      </c>
      <c r="H29" t="s">
        <v>225</v>
      </c>
      <c r="I29">
        <v>175</v>
      </c>
      <c r="J29">
        <v>175</v>
      </c>
      <c r="K29">
        <v>175</v>
      </c>
      <c r="L29">
        <v>1</v>
      </c>
      <c r="N29">
        <v>0.18</v>
      </c>
      <c r="O29">
        <v>0.18</v>
      </c>
      <c r="P29">
        <v>0.18</v>
      </c>
      <c r="Q29">
        <v>350</v>
      </c>
      <c r="R29">
        <v>350</v>
      </c>
      <c r="S29">
        <v>350</v>
      </c>
      <c r="U29" t="s">
        <v>384</v>
      </c>
      <c r="V29">
        <v>2000</v>
      </c>
      <c r="W29">
        <v>0</v>
      </c>
      <c r="X29">
        <v>0</v>
      </c>
      <c r="Y29">
        <v>0.9</v>
      </c>
      <c r="Z29">
        <v>194.44444444444443</v>
      </c>
      <c r="AA29">
        <v>426.25431281493201</v>
      </c>
      <c r="AB29">
        <v>426.25431281493201</v>
      </c>
      <c r="AC29">
        <v>426.25431281493201</v>
      </c>
      <c r="AD29">
        <v>435.89904950309898</v>
      </c>
      <c r="AE29">
        <v>435.89904950309898</v>
      </c>
      <c r="AF29">
        <v>435.89904950309898</v>
      </c>
      <c r="AG29">
        <v>51.831618606228297</v>
      </c>
      <c r="AH29">
        <v>51.831618606228297</v>
      </c>
      <c r="AI29">
        <v>51.831618606228297</v>
      </c>
      <c r="AJ29">
        <v>407.24317030097745</v>
      </c>
      <c r="AK29">
        <v>407.24317030097745</v>
      </c>
      <c r="AL29">
        <v>407.24317030097745</v>
      </c>
      <c r="AP29">
        <v>22.186027049375522</v>
      </c>
      <c r="AQ29">
        <v>22.186027049375522</v>
      </c>
      <c r="AR29">
        <v>22.186027049375522</v>
      </c>
      <c r="AS29">
        <v>2.1260334404191505E-2</v>
      </c>
      <c r="AT29">
        <v>2.1260334404191505E-2</v>
      </c>
      <c r="AU29">
        <v>2.1260334404191505E-2</v>
      </c>
      <c r="BC29" t="s">
        <v>15</v>
      </c>
    </row>
    <row r="30" spans="1:55" x14ac:dyDescent="0.45">
      <c r="A30" t="s">
        <v>87</v>
      </c>
      <c r="B30" t="s">
        <v>315</v>
      </c>
      <c r="C30">
        <v>5</v>
      </c>
      <c r="D30" t="s">
        <v>10</v>
      </c>
      <c r="E30" t="s">
        <v>99</v>
      </c>
      <c r="F30" t="s">
        <v>310</v>
      </c>
      <c r="G30" t="s">
        <v>252</v>
      </c>
      <c r="H30" t="s">
        <v>225</v>
      </c>
      <c r="I30">
        <v>15</v>
      </c>
      <c r="J30">
        <v>15</v>
      </c>
      <c r="K30">
        <v>15</v>
      </c>
      <c r="L30">
        <v>1</v>
      </c>
      <c r="N30">
        <v>0.02</v>
      </c>
      <c r="O30">
        <v>0.02</v>
      </c>
      <c r="P30">
        <v>0.02</v>
      </c>
      <c r="Q30">
        <v>15.75</v>
      </c>
      <c r="R30">
        <v>15.75</v>
      </c>
      <c r="S30">
        <v>15.75</v>
      </c>
      <c r="T30" t="s">
        <v>400</v>
      </c>
      <c r="U30" t="s">
        <v>381</v>
      </c>
      <c r="V30">
        <v>1050</v>
      </c>
      <c r="W30">
        <v>0</v>
      </c>
      <c r="X30">
        <v>0</v>
      </c>
      <c r="Y30">
        <v>1</v>
      </c>
      <c r="Z30">
        <v>15</v>
      </c>
      <c r="AA30">
        <v>19.102641975961582</v>
      </c>
      <c r="AB30">
        <v>19.102641975961582</v>
      </c>
      <c r="AC30">
        <v>19.102641975961582</v>
      </c>
      <c r="AD30">
        <v>19.894952377912816</v>
      </c>
      <c r="AE30">
        <v>19.894952377912816</v>
      </c>
      <c r="AF30">
        <v>19.894952377912816</v>
      </c>
      <c r="AG30">
        <v>1.8596920563101473</v>
      </c>
      <c r="AH30">
        <v>1.8596920563101473</v>
      </c>
      <c r="AI30">
        <v>1.8596920563101473</v>
      </c>
      <c r="AJ30">
        <v>26.945451563913227</v>
      </c>
      <c r="AK30">
        <v>26.945451563913227</v>
      </c>
      <c r="AL30">
        <v>26.945451563913227</v>
      </c>
      <c r="AP30">
        <v>1.9586296940800589</v>
      </c>
      <c r="AQ30">
        <v>1.9586296940800589</v>
      </c>
      <c r="AR30">
        <v>1.9586296940800589</v>
      </c>
      <c r="AS30">
        <v>1.0580831622736952E-3</v>
      </c>
      <c r="AT30">
        <v>1.0580831622736952E-3</v>
      </c>
      <c r="AU30">
        <v>1.0580831622736952E-3</v>
      </c>
      <c r="BC30" t="s">
        <v>15</v>
      </c>
    </row>
    <row r="31" spans="1:55" x14ac:dyDescent="0.45">
      <c r="A31" t="s">
        <v>87</v>
      </c>
      <c r="B31" t="s">
        <v>315</v>
      </c>
      <c r="C31">
        <v>5</v>
      </c>
      <c r="D31" t="s">
        <v>10</v>
      </c>
      <c r="E31" t="s">
        <v>99</v>
      </c>
      <c r="F31" t="s">
        <v>265</v>
      </c>
      <c r="G31" t="s">
        <v>265</v>
      </c>
      <c r="H31" t="s">
        <v>225</v>
      </c>
      <c r="I31">
        <v>365</v>
      </c>
      <c r="J31">
        <v>365</v>
      </c>
      <c r="K31">
        <v>365</v>
      </c>
      <c r="L31">
        <v>1</v>
      </c>
      <c r="N31">
        <v>0.36</v>
      </c>
      <c r="O31">
        <v>0.36</v>
      </c>
      <c r="P31">
        <v>0.36</v>
      </c>
      <c r="Q31">
        <v>220.82</v>
      </c>
      <c r="R31">
        <v>220.82</v>
      </c>
      <c r="S31">
        <v>220.82</v>
      </c>
      <c r="T31" t="s">
        <v>401</v>
      </c>
      <c r="U31" t="s">
        <v>402</v>
      </c>
      <c r="V31">
        <v>605</v>
      </c>
      <c r="W31">
        <v>0</v>
      </c>
      <c r="X31">
        <v>0</v>
      </c>
      <c r="Y31">
        <v>1.1000000000000001</v>
      </c>
      <c r="Z31">
        <v>331.81818181818181</v>
      </c>
      <c r="AA31">
        <v>374.41081162336127</v>
      </c>
      <c r="AB31">
        <v>374.41081162336127</v>
      </c>
      <c r="AC31">
        <v>374.41081162336127</v>
      </c>
      <c r="AD31">
        <v>748.80349573453191</v>
      </c>
      <c r="AE31">
        <v>748.80349573453191</v>
      </c>
      <c r="AF31">
        <v>748.80349573453191</v>
      </c>
      <c r="AG31">
        <v>99.187706810579286</v>
      </c>
      <c r="AH31">
        <v>99.187706810579286</v>
      </c>
      <c r="AI31">
        <v>99.187706810579286</v>
      </c>
      <c r="AJ31">
        <v>1332.1204698276194</v>
      </c>
      <c r="AK31">
        <v>1332.1204698276194</v>
      </c>
      <c r="AL31">
        <v>1332.1204698276194</v>
      </c>
      <c r="AP31">
        <v>21.286056114057093</v>
      </c>
      <c r="AQ31">
        <v>21.286056114057093</v>
      </c>
      <c r="AR31">
        <v>21.286056114057093</v>
      </c>
      <c r="AS31">
        <v>3.0666971022193207E-2</v>
      </c>
      <c r="AT31">
        <v>3.0666971022193207E-2</v>
      </c>
      <c r="AU31">
        <v>3.0666971022193207E-2</v>
      </c>
      <c r="BC31" t="s">
        <v>15</v>
      </c>
    </row>
    <row r="32" spans="1:55" x14ac:dyDescent="0.45">
      <c r="A32" t="s">
        <v>87</v>
      </c>
      <c r="B32" t="s">
        <v>316</v>
      </c>
      <c r="C32">
        <v>6</v>
      </c>
      <c r="D32" t="s">
        <v>312</v>
      </c>
      <c r="E32" t="s">
        <v>101</v>
      </c>
      <c r="F32" t="s">
        <v>331</v>
      </c>
      <c r="G32" t="s">
        <v>227</v>
      </c>
      <c r="H32" t="s">
        <v>228</v>
      </c>
      <c r="I32">
        <v>120</v>
      </c>
      <c r="J32">
        <v>80</v>
      </c>
      <c r="K32">
        <v>200</v>
      </c>
      <c r="L32">
        <v>1</v>
      </c>
      <c r="N32">
        <v>0.12</v>
      </c>
      <c r="O32">
        <v>0.08</v>
      </c>
      <c r="P32">
        <v>0.2</v>
      </c>
      <c r="Q32">
        <v>5.55</v>
      </c>
      <c r="R32">
        <v>3.7</v>
      </c>
      <c r="S32">
        <v>9.25</v>
      </c>
      <c r="T32" t="s">
        <v>227</v>
      </c>
      <c r="U32" t="s">
        <v>387</v>
      </c>
      <c r="V32">
        <v>46.25</v>
      </c>
      <c r="W32">
        <v>0</v>
      </c>
      <c r="X32">
        <v>0</v>
      </c>
      <c r="Y32">
        <v>4.2000000000000003E-2</v>
      </c>
      <c r="Z32">
        <v>2857.1428571428569</v>
      </c>
      <c r="AA32">
        <v>10.695183985712411</v>
      </c>
      <c r="AB32">
        <v>7.1301226571416088</v>
      </c>
      <c r="AC32">
        <v>17.82530664285402</v>
      </c>
      <c r="AD32">
        <v>12.97922231021659</v>
      </c>
      <c r="AE32">
        <v>8.6528148734777286</v>
      </c>
      <c r="AF32">
        <v>21.632037183694319</v>
      </c>
      <c r="AG32">
        <v>5.4935611125903199</v>
      </c>
      <c r="AH32">
        <v>3.6623740750602138</v>
      </c>
      <c r="AI32">
        <v>9.1559351876505346</v>
      </c>
      <c r="AJ32">
        <v>118.07336116942452</v>
      </c>
      <c r="AK32">
        <v>78.715574112949682</v>
      </c>
      <c r="AL32">
        <v>196.78893528237421</v>
      </c>
      <c r="AP32">
        <v>6.0144984071618559</v>
      </c>
      <c r="AQ32">
        <v>4.0096656047745709</v>
      </c>
      <c r="AR32">
        <v>10.024164011936426</v>
      </c>
      <c r="AS32">
        <v>2.1674690482342586E-3</v>
      </c>
      <c r="AT32">
        <v>1.4449793654895062E-3</v>
      </c>
      <c r="AU32">
        <v>3.6124484137237648E-3</v>
      </c>
      <c r="BC32" t="s">
        <v>15</v>
      </c>
    </row>
    <row r="33" spans="1:55" x14ac:dyDescent="0.45">
      <c r="A33" t="s">
        <v>87</v>
      </c>
      <c r="B33" t="s">
        <v>316</v>
      </c>
      <c r="C33">
        <v>6</v>
      </c>
      <c r="D33" t="s">
        <v>312</v>
      </c>
      <c r="E33" t="s">
        <v>101</v>
      </c>
      <c r="F33" t="s">
        <v>310</v>
      </c>
      <c r="G33" t="s">
        <v>252</v>
      </c>
      <c r="H33" t="s">
        <v>225</v>
      </c>
      <c r="I33">
        <v>15</v>
      </c>
      <c r="J33">
        <v>15</v>
      </c>
      <c r="K33">
        <v>15</v>
      </c>
      <c r="L33">
        <v>1</v>
      </c>
      <c r="N33">
        <v>0.02</v>
      </c>
      <c r="O33">
        <v>0.02</v>
      </c>
      <c r="P33">
        <v>0.02</v>
      </c>
      <c r="Q33">
        <v>15.75</v>
      </c>
      <c r="R33">
        <v>15.75</v>
      </c>
      <c r="S33">
        <v>15.75</v>
      </c>
      <c r="T33" t="s">
        <v>252</v>
      </c>
      <c r="U33" t="s">
        <v>381</v>
      </c>
      <c r="V33">
        <v>1050</v>
      </c>
      <c r="W33">
        <v>0</v>
      </c>
      <c r="X33">
        <v>0</v>
      </c>
      <c r="Y33">
        <v>1</v>
      </c>
      <c r="Z33">
        <v>15</v>
      </c>
      <c r="AA33">
        <v>19.102641975961582</v>
      </c>
      <c r="AB33">
        <v>19.102641975961582</v>
      </c>
      <c r="AC33">
        <v>19.102641975961582</v>
      </c>
      <c r="AD33">
        <v>19.894952377912816</v>
      </c>
      <c r="AE33">
        <v>19.894952377912816</v>
      </c>
      <c r="AF33">
        <v>19.894952377912816</v>
      </c>
      <c r="AG33">
        <v>1.8596920563101473</v>
      </c>
      <c r="AH33">
        <v>1.8596920563101473</v>
      </c>
      <c r="AI33">
        <v>1.8596920563101473</v>
      </c>
      <c r="AJ33">
        <v>26.945451563913227</v>
      </c>
      <c r="AK33">
        <v>26.945451563913227</v>
      </c>
      <c r="AL33">
        <v>26.945451563913227</v>
      </c>
      <c r="AP33">
        <v>1.9586296940800589</v>
      </c>
      <c r="AQ33">
        <v>1.9586296940800589</v>
      </c>
      <c r="AR33">
        <v>1.9586296940800589</v>
      </c>
      <c r="AS33">
        <v>1.0580831622736952E-3</v>
      </c>
      <c r="AT33">
        <v>1.0580831622736952E-3</v>
      </c>
      <c r="AU33">
        <v>1.0580831622736952E-3</v>
      </c>
      <c r="BC33" t="s">
        <v>15</v>
      </c>
    </row>
    <row r="34" spans="1:55" x14ac:dyDescent="0.45">
      <c r="A34" t="s">
        <v>87</v>
      </c>
      <c r="B34" t="s">
        <v>316</v>
      </c>
      <c r="C34">
        <v>6</v>
      </c>
      <c r="D34" t="s">
        <v>312</v>
      </c>
      <c r="E34" t="s">
        <v>101</v>
      </c>
      <c r="F34" t="s">
        <v>328</v>
      </c>
      <c r="G34" t="s">
        <v>266</v>
      </c>
      <c r="H34" t="s">
        <v>225</v>
      </c>
      <c r="I34">
        <v>240</v>
      </c>
      <c r="J34">
        <v>240</v>
      </c>
      <c r="K34">
        <v>240</v>
      </c>
      <c r="L34">
        <v>1</v>
      </c>
      <c r="N34">
        <v>0.24</v>
      </c>
      <c r="O34">
        <v>0.24</v>
      </c>
      <c r="P34">
        <v>0.24</v>
      </c>
      <c r="Q34">
        <v>138</v>
      </c>
      <c r="R34">
        <v>138</v>
      </c>
      <c r="S34">
        <v>138</v>
      </c>
      <c r="T34" t="s">
        <v>226</v>
      </c>
      <c r="U34" t="s">
        <v>390</v>
      </c>
      <c r="V34">
        <v>575</v>
      </c>
      <c r="W34">
        <v>0</v>
      </c>
      <c r="X34">
        <v>0</v>
      </c>
      <c r="Y34">
        <v>1.1000000000000001</v>
      </c>
      <c r="Z34">
        <v>218.18181818181816</v>
      </c>
      <c r="AA34">
        <v>208.37308201480639</v>
      </c>
      <c r="AB34">
        <v>208.37308201480639</v>
      </c>
      <c r="AC34">
        <v>208.37308201480639</v>
      </c>
      <c r="AD34">
        <v>454.73860772828544</v>
      </c>
      <c r="AE34">
        <v>454.73860772828544</v>
      </c>
      <c r="AF34">
        <v>454.73860772828544</v>
      </c>
      <c r="AG34">
        <v>33.459580284616145</v>
      </c>
      <c r="AH34">
        <v>33.459580284616145</v>
      </c>
      <c r="AI34">
        <v>33.459580284616145</v>
      </c>
      <c r="AJ34">
        <v>369.70430638014756</v>
      </c>
      <c r="AK34">
        <v>369.70430638014756</v>
      </c>
      <c r="AL34">
        <v>369.70430638014756</v>
      </c>
      <c r="AP34">
        <v>3.4691369163803656</v>
      </c>
      <c r="AQ34">
        <v>3.4691369163803656</v>
      </c>
      <c r="AR34">
        <v>3.4691369163803656</v>
      </c>
      <c r="AS34">
        <v>1.1696495000328577E-2</v>
      </c>
      <c r="AT34">
        <v>1.1696495000328577E-2</v>
      </c>
      <c r="AU34">
        <v>1.1696495000328577E-2</v>
      </c>
      <c r="BC34" t="s">
        <v>15</v>
      </c>
    </row>
    <row r="35" spans="1:55" x14ac:dyDescent="0.45">
      <c r="A35" t="s">
        <v>87</v>
      </c>
      <c r="B35" t="s">
        <v>316</v>
      </c>
      <c r="C35">
        <v>6</v>
      </c>
      <c r="D35" t="s">
        <v>312</v>
      </c>
      <c r="E35" t="s">
        <v>101</v>
      </c>
      <c r="F35" t="s">
        <v>330</v>
      </c>
      <c r="G35" t="s">
        <v>267</v>
      </c>
      <c r="H35" t="s">
        <v>225</v>
      </c>
      <c r="I35">
        <v>120</v>
      </c>
      <c r="J35">
        <v>120</v>
      </c>
      <c r="K35">
        <v>120</v>
      </c>
      <c r="L35">
        <v>1</v>
      </c>
      <c r="N35">
        <v>0.12</v>
      </c>
      <c r="O35">
        <v>0.12</v>
      </c>
      <c r="P35">
        <v>0.12</v>
      </c>
      <c r="Q35">
        <v>216</v>
      </c>
      <c r="R35">
        <v>216</v>
      </c>
      <c r="S35">
        <v>216</v>
      </c>
      <c r="T35" t="s">
        <v>226</v>
      </c>
      <c r="U35" t="s">
        <v>405</v>
      </c>
      <c r="V35">
        <v>1800</v>
      </c>
      <c r="W35">
        <v>0</v>
      </c>
      <c r="X35">
        <v>0</v>
      </c>
      <c r="Y35">
        <v>1.1000000000000001</v>
      </c>
      <c r="Z35">
        <v>109.09090909090908</v>
      </c>
      <c r="AA35">
        <v>332.79054650941396</v>
      </c>
      <c r="AB35">
        <v>332.79054650941396</v>
      </c>
      <c r="AC35">
        <v>332.79054650941396</v>
      </c>
      <c r="AD35">
        <v>719.97574650528747</v>
      </c>
      <c r="AE35">
        <v>719.97574650528747</v>
      </c>
      <c r="AF35">
        <v>719.97574650528747</v>
      </c>
      <c r="AG35">
        <v>76.702953942135437</v>
      </c>
      <c r="AH35">
        <v>76.702953942135437</v>
      </c>
      <c r="AI35">
        <v>76.702953942135437</v>
      </c>
      <c r="AJ35">
        <v>838.67953622181267</v>
      </c>
      <c r="AK35">
        <v>838.67953622181267</v>
      </c>
      <c r="AL35">
        <v>838.67953622181267</v>
      </c>
      <c r="AP35">
        <v>7.8451483625078904</v>
      </c>
      <c r="AQ35">
        <v>7.8451483625078904</v>
      </c>
      <c r="AR35">
        <v>7.8451483625078904</v>
      </c>
      <c r="AS35">
        <v>2.2771098142268676E-2</v>
      </c>
      <c r="AT35">
        <v>2.2771098142268676E-2</v>
      </c>
      <c r="AU35">
        <v>2.2771098142268676E-2</v>
      </c>
      <c r="BC35" t="s">
        <v>15</v>
      </c>
    </row>
    <row r="36" spans="1:55" x14ac:dyDescent="0.45">
      <c r="A36" t="s">
        <v>87</v>
      </c>
      <c r="B36" t="s">
        <v>325</v>
      </c>
      <c r="C36">
        <v>7</v>
      </c>
      <c r="D36" t="s">
        <v>312</v>
      </c>
      <c r="E36" t="s">
        <v>102</v>
      </c>
      <c r="F36" t="s">
        <v>324</v>
      </c>
      <c r="G36" t="s">
        <v>240</v>
      </c>
      <c r="H36" t="s">
        <v>225</v>
      </c>
      <c r="I36">
        <v>12.5</v>
      </c>
      <c r="J36">
        <v>12.5</v>
      </c>
      <c r="K36">
        <v>12.5</v>
      </c>
      <c r="L36">
        <v>1</v>
      </c>
      <c r="N36">
        <v>0.01</v>
      </c>
      <c r="O36">
        <v>0.01</v>
      </c>
      <c r="P36">
        <v>0.01</v>
      </c>
      <c r="Q36">
        <v>10</v>
      </c>
      <c r="R36">
        <v>10</v>
      </c>
      <c r="S36">
        <v>10</v>
      </c>
      <c r="T36" t="s">
        <v>226</v>
      </c>
      <c r="U36" t="s">
        <v>392</v>
      </c>
      <c r="V36">
        <v>800</v>
      </c>
      <c r="W36">
        <v>10</v>
      </c>
      <c r="X36">
        <v>0</v>
      </c>
      <c r="Y36">
        <v>0.2</v>
      </c>
      <c r="Z36">
        <v>62.5</v>
      </c>
      <c r="AA36">
        <v>9.6885190926662101</v>
      </c>
      <c r="AB36">
        <v>9.6885190926662101</v>
      </c>
      <c r="AC36">
        <v>9.6885190926662101</v>
      </c>
      <c r="AD36">
        <v>10.504992021872901</v>
      </c>
      <c r="AE36">
        <v>10.504992021872901</v>
      </c>
      <c r="AF36">
        <v>10.504992021872901</v>
      </c>
      <c r="AG36">
        <v>2.5140556386449697</v>
      </c>
      <c r="AH36">
        <v>2.5140556386449697</v>
      </c>
      <c r="AI36">
        <v>2.5140556386449697</v>
      </c>
      <c r="AJ36">
        <v>38.560990916917703</v>
      </c>
      <c r="AK36">
        <v>38.560990916917703</v>
      </c>
      <c r="AL36">
        <v>38.560990916917703</v>
      </c>
      <c r="AP36">
        <v>1.2506783392176499</v>
      </c>
      <c r="AQ36">
        <v>1.2506783392176499</v>
      </c>
      <c r="AR36">
        <v>1.2506783392176499</v>
      </c>
      <c r="AS36">
        <v>8.7990794098609262E-4</v>
      </c>
      <c r="AT36">
        <v>8.7990794098609262E-4</v>
      </c>
      <c r="AU36">
        <v>8.7990794098609262E-4</v>
      </c>
      <c r="BC36" t="s">
        <v>15</v>
      </c>
    </row>
    <row r="37" spans="1:55" x14ac:dyDescent="0.45">
      <c r="A37" t="s">
        <v>87</v>
      </c>
      <c r="B37" t="s">
        <v>325</v>
      </c>
      <c r="C37">
        <v>7</v>
      </c>
      <c r="D37" t="s">
        <v>312</v>
      </c>
      <c r="E37" t="s">
        <v>102</v>
      </c>
      <c r="F37" t="s">
        <v>243</v>
      </c>
      <c r="G37" t="s">
        <v>243</v>
      </c>
      <c r="H37" t="s">
        <v>225</v>
      </c>
      <c r="I37">
        <v>120</v>
      </c>
      <c r="J37">
        <v>120</v>
      </c>
      <c r="K37">
        <v>120</v>
      </c>
      <c r="L37">
        <v>0.2</v>
      </c>
      <c r="N37">
        <v>0.02</v>
      </c>
      <c r="O37">
        <v>0.02</v>
      </c>
      <c r="P37">
        <v>0.02</v>
      </c>
      <c r="Q37">
        <v>11.83</v>
      </c>
      <c r="R37">
        <v>11.83</v>
      </c>
      <c r="S37">
        <v>11.83</v>
      </c>
      <c r="T37" t="s">
        <v>442</v>
      </c>
      <c r="U37" t="s">
        <v>443</v>
      </c>
      <c r="V37">
        <v>492.92</v>
      </c>
      <c r="W37">
        <v>0</v>
      </c>
      <c r="X37">
        <v>0</v>
      </c>
      <c r="Y37">
        <v>0.1</v>
      </c>
      <c r="Z37">
        <v>1200</v>
      </c>
      <c r="AA37">
        <v>23.922847238298257</v>
      </c>
      <c r="AB37">
        <v>23.922847238298257</v>
      </c>
      <c r="AC37">
        <v>23.922847238298257</v>
      </c>
      <c r="AD37">
        <v>27.693245889371099</v>
      </c>
      <c r="AE37">
        <v>27.693245889371099</v>
      </c>
      <c r="AF37">
        <v>27.693245889371099</v>
      </c>
      <c r="AG37">
        <v>2.4910172086284685</v>
      </c>
      <c r="AH37">
        <v>2.4910172086284685</v>
      </c>
      <c r="AI37">
        <v>2.4910172086284685</v>
      </c>
      <c r="AJ37">
        <v>45.106194662661636</v>
      </c>
      <c r="AK37">
        <v>45.106194662661636</v>
      </c>
      <c r="AL37">
        <v>45.106194662661636</v>
      </c>
      <c r="AP37">
        <v>1.0048021680413088</v>
      </c>
      <c r="AQ37">
        <v>1.0048021680413088</v>
      </c>
      <c r="AR37">
        <v>1.0048021680413088</v>
      </c>
      <c r="AS37">
        <v>1.2927542633527267E-3</v>
      </c>
      <c r="AT37">
        <v>1.2927542633527267E-3</v>
      </c>
      <c r="AU37">
        <v>1.2927542633527267E-3</v>
      </c>
      <c r="BC37" t="s">
        <v>15</v>
      </c>
    </row>
    <row r="38" spans="1:55" x14ac:dyDescent="0.45">
      <c r="A38" t="s">
        <v>87</v>
      </c>
      <c r="B38" t="s">
        <v>325</v>
      </c>
      <c r="C38">
        <v>7</v>
      </c>
      <c r="D38" t="s">
        <v>312</v>
      </c>
      <c r="E38" t="s">
        <v>102</v>
      </c>
      <c r="F38" t="s">
        <v>331</v>
      </c>
      <c r="G38" t="s">
        <v>227</v>
      </c>
      <c r="H38" t="s">
        <v>228</v>
      </c>
      <c r="I38">
        <v>120</v>
      </c>
      <c r="J38">
        <v>80</v>
      </c>
      <c r="K38">
        <v>200</v>
      </c>
      <c r="L38">
        <v>0.86</v>
      </c>
      <c r="N38">
        <v>0.1</v>
      </c>
      <c r="O38">
        <v>7.0000000000000007E-2</v>
      </c>
      <c r="P38">
        <v>0.17</v>
      </c>
      <c r="Q38">
        <v>4.7699999999999996</v>
      </c>
      <c r="R38">
        <v>3.18</v>
      </c>
      <c r="S38">
        <v>7.96</v>
      </c>
      <c r="T38" t="s">
        <v>227</v>
      </c>
      <c r="U38" t="s">
        <v>387</v>
      </c>
      <c r="V38">
        <v>46.25</v>
      </c>
      <c r="W38">
        <v>0</v>
      </c>
      <c r="X38">
        <v>0</v>
      </c>
      <c r="Y38">
        <v>4.2000000000000003E-2</v>
      </c>
      <c r="Z38">
        <v>2857.1428571428569</v>
      </c>
      <c r="AA38">
        <v>9.1978582277126737</v>
      </c>
      <c r="AB38">
        <v>6.1319054851417825</v>
      </c>
      <c r="AC38">
        <v>15.32976371285446</v>
      </c>
      <c r="AD38">
        <v>11.162131186786267</v>
      </c>
      <c r="AE38">
        <v>7.4414207911908452</v>
      </c>
      <c r="AF38">
        <v>18.603551977977116</v>
      </c>
      <c r="AG38">
        <v>4.7244625568276755</v>
      </c>
      <c r="AH38">
        <v>3.1496417045517835</v>
      </c>
      <c r="AI38">
        <v>7.8741042613794603</v>
      </c>
      <c r="AJ38">
        <v>101.54309060570509</v>
      </c>
      <c r="AK38">
        <v>67.695393737136726</v>
      </c>
      <c r="AL38">
        <v>169.23848434284184</v>
      </c>
      <c r="AP38">
        <v>5.1724686301591962</v>
      </c>
      <c r="AQ38">
        <v>3.4483124201061308</v>
      </c>
      <c r="AR38">
        <v>8.6207810502653288</v>
      </c>
      <c r="AS38">
        <v>1.8640233814814628E-3</v>
      </c>
      <c r="AT38">
        <v>1.242682254320975E-3</v>
      </c>
      <c r="AU38">
        <v>3.106705635802438E-3</v>
      </c>
      <c r="BC38" t="s">
        <v>15</v>
      </c>
    </row>
    <row r="39" spans="1:55" x14ac:dyDescent="0.45">
      <c r="A39" t="s">
        <v>87</v>
      </c>
      <c r="B39" t="s">
        <v>325</v>
      </c>
      <c r="C39">
        <v>7</v>
      </c>
      <c r="D39" t="s">
        <v>312</v>
      </c>
      <c r="E39" t="s">
        <v>102</v>
      </c>
      <c r="F39" t="s">
        <v>334</v>
      </c>
      <c r="G39" t="s">
        <v>272</v>
      </c>
      <c r="H39" t="s">
        <v>225</v>
      </c>
      <c r="I39">
        <v>18</v>
      </c>
      <c r="J39">
        <v>18</v>
      </c>
      <c r="K39">
        <v>18</v>
      </c>
      <c r="L39">
        <v>1</v>
      </c>
      <c r="N39">
        <v>0.02</v>
      </c>
      <c r="O39">
        <v>0.02</v>
      </c>
      <c r="P39">
        <v>0.02</v>
      </c>
      <c r="Q39">
        <v>2.71</v>
      </c>
      <c r="R39">
        <v>2.71</v>
      </c>
      <c r="S39">
        <v>2.71</v>
      </c>
      <c r="T39" t="s">
        <v>226</v>
      </c>
      <c r="U39" t="s">
        <v>408</v>
      </c>
      <c r="V39">
        <v>150.76</v>
      </c>
      <c r="W39">
        <v>0</v>
      </c>
      <c r="X39">
        <v>0</v>
      </c>
      <c r="Y39">
        <v>3.2000000000000001E-2</v>
      </c>
      <c r="Z39">
        <v>562.5</v>
      </c>
      <c r="AA39">
        <v>4.2322772641023754</v>
      </c>
      <c r="AB39">
        <v>4.2322772641023754</v>
      </c>
      <c r="AC39">
        <v>4.2322772641023754</v>
      </c>
      <c r="AD39">
        <v>5.0878934799802336</v>
      </c>
      <c r="AE39">
        <v>5.0878934799802336</v>
      </c>
      <c r="AF39">
        <v>5.0878934799802336</v>
      </c>
      <c r="AG39">
        <v>2.5463115040641155</v>
      </c>
      <c r="AH39">
        <v>2.5463115040641155</v>
      </c>
      <c r="AI39">
        <v>2.5463115040641155</v>
      </c>
      <c r="AJ39">
        <v>43.32657921182188</v>
      </c>
      <c r="AK39">
        <v>43.32657921182188</v>
      </c>
      <c r="AL39">
        <v>43.32657921182188</v>
      </c>
      <c r="AP39">
        <v>1.7389461468424889</v>
      </c>
      <c r="AQ39">
        <v>1.7389461468424889</v>
      </c>
      <c r="AR39">
        <v>1.7389461468424889</v>
      </c>
      <c r="AS39">
        <v>8.1057937491179309E-4</v>
      </c>
      <c r="AT39">
        <v>8.1057937491179309E-4</v>
      </c>
      <c r="AU39">
        <v>8.1057937491179309E-4</v>
      </c>
      <c r="BC39" t="s">
        <v>15</v>
      </c>
    </row>
    <row r="40" spans="1:55" x14ac:dyDescent="0.45">
      <c r="A40" t="s">
        <v>87</v>
      </c>
      <c r="B40" t="s">
        <v>325</v>
      </c>
      <c r="C40">
        <v>8</v>
      </c>
      <c r="D40" t="s">
        <v>275</v>
      </c>
      <c r="E40" t="s">
        <v>103</v>
      </c>
      <c r="F40" t="s">
        <v>324</v>
      </c>
      <c r="G40" t="s">
        <v>240</v>
      </c>
      <c r="H40" t="s">
        <v>225</v>
      </c>
      <c r="I40">
        <v>12.5</v>
      </c>
      <c r="J40">
        <v>12.5</v>
      </c>
      <c r="K40">
        <v>12.5</v>
      </c>
      <c r="L40">
        <v>1</v>
      </c>
      <c r="N40">
        <v>0.01</v>
      </c>
      <c r="O40">
        <v>0.01</v>
      </c>
      <c r="P40">
        <v>0.01</v>
      </c>
      <c r="Q40">
        <v>10</v>
      </c>
      <c r="R40">
        <v>10</v>
      </c>
      <c r="S40">
        <v>10</v>
      </c>
      <c r="T40" t="s">
        <v>226</v>
      </c>
      <c r="U40" t="s">
        <v>392</v>
      </c>
      <c r="V40">
        <v>800</v>
      </c>
      <c r="W40">
        <v>10</v>
      </c>
      <c r="X40">
        <v>0</v>
      </c>
      <c r="Y40">
        <v>0.2</v>
      </c>
      <c r="Z40">
        <v>62.5</v>
      </c>
      <c r="AA40">
        <v>9.6885190926662101</v>
      </c>
      <c r="AB40">
        <v>9.6885190926662101</v>
      </c>
      <c r="AC40">
        <v>9.6885190926662101</v>
      </c>
      <c r="AD40">
        <v>10.504992021872901</v>
      </c>
      <c r="AE40">
        <v>10.504992021872901</v>
      </c>
      <c r="AF40">
        <v>10.504992021872901</v>
      </c>
      <c r="AG40">
        <v>2.5140556386449697</v>
      </c>
      <c r="AH40">
        <v>2.5140556386449697</v>
      </c>
      <c r="AI40">
        <v>2.5140556386449697</v>
      </c>
      <c r="AJ40">
        <v>38.560990916917703</v>
      </c>
      <c r="AK40">
        <v>38.560990916917703</v>
      </c>
      <c r="AL40">
        <v>38.560990916917703</v>
      </c>
      <c r="AP40">
        <v>1.2506783392176499</v>
      </c>
      <c r="AQ40">
        <v>1.2506783392176499</v>
      </c>
      <c r="AR40">
        <v>1.2506783392176499</v>
      </c>
      <c r="AS40">
        <v>8.7990794098609262E-4</v>
      </c>
      <c r="AT40">
        <v>8.7990794098609262E-4</v>
      </c>
      <c r="AU40">
        <v>8.7990794098609262E-4</v>
      </c>
      <c r="BC40" t="s">
        <v>15</v>
      </c>
    </row>
    <row r="41" spans="1:55" x14ac:dyDescent="0.45">
      <c r="A41" t="s">
        <v>87</v>
      </c>
      <c r="B41" t="s">
        <v>325</v>
      </c>
      <c r="C41">
        <v>8</v>
      </c>
      <c r="D41" t="s">
        <v>275</v>
      </c>
      <c r="E41" t="s">
        <v>103</v>
      </c>
      <c r="F41" t="s">
        <v>243</v>
      </c>
      <c r="G41" t="s">
        <v>243</v>
      </c>
      <c r="H41" t="s">
        <v>225</v>
      </c>
      <c r="I41">
        <v>240</v>
      </c>
      <c r="J41">
        <v>240</v>
      </c>
      <c r="K41">
        <v>240</v>
      </c>
      <c r="L41">
        <v>0.2</v>
      </c>
      <c r="N41">
        <v>0.05</v>
      </c>
      <c r="O41">
        <v>0.05</v>
      </c>
      <c r="P41">
        <v>0.05</v>
      </c>
      <c r="Q41">
        <v>23.66</v>
      </c>
      <c r="R41">
        <v>23.66</v>
      </c>
      <c r="S41">
        <v>23.66</v>
      </c>
      <c r="T41" t="s">
        <v>445</v>
      </c>
      <c r="U41" t="s">
        <v>443</v>
      </c>
      <c r="V41">
        <v>492.92</v>
      </c>
      <c r="W41">
        <v>0</v>
      </c>
      <c r="X41">
        <v>0</v>
      </c>
      <c r="Y41">
        <v>0.1</v>
      </c>
      <c r="Z41">
        <v>2400</v>
      </c>
      <c r="AA41">
        <v>47.845694476596513</v>
      </c>
      <c r="AB41">
        <v>47.845694476596513</v>
      </c>
      <c r="AC41">
        <v>47.845694476596513</v>
      </c>
      <c r="AD41">
        <v>55.386491778742197</v>
      </c>
      <c r="AE41">
        <v>55.386491778742197</v>
      </c>
      <c r="AF41">
        <v>55.386491778742197</v>
      </c>
      <c r="AG41">
        <v>4.9820344172569371</v>
      </c>
      <c r="AH41">
        <v>4.9820344172569371</v>
      </c>
      <c r="AI41">
        <v>4.9820344172569371</v>
      </c>
      <c r="AJ41">
        <v>90.212389325323272</v>
      </c>
      <c r="AK41">
        <v>90.212389325323272</v>
      </c>
      <c r="AL41">
        <v>90.212389325323272</v>
      </c>
      <c r="AP41">
        <v>2.0096043360826177</v>
      </c>
      <c r="AQ41">
        <v>2.0096043360826177</v>
      </c>
      <c r="AR41">
        <v>2.0096043360826177</v>
      </c>
      <c r="AS41">
        <v>2.5855085267054534E-3</v>
      </c>
      <c r="AT41">
        <v>2.5855085267054534E-3</v>
      </c>
      <c r="AU41">
        <v>2.5855085267054534E-3</v>
      </c>
      <c r="BC41" t="s">
        <v>15</v>
      </c>
    </row>
    <row r="42" spans="1:55" x14ac:dyDescent="0.45">
      <c r="A42" t="s">
        <v>87</v>
      </c>
      <c r="B42" t="s">
        <v>325</v>
      </c>
      <c r="C42">
        <v>8</v>
      </c>
      <c r="D42" t="s">
        <v>275</v>
      </c>
      <c r="E42" t="s">
        <v>103</v>
      </c>
      <c r="F42" t="s">
        <v>241</v>
      </c>
      <c r="G42" t="s">
        <v>275</v>
      </c>
      <c r="H42" t="s">
        <v>228</v>
      </c>
      <c r="I42">
        <v>240</v>
      </c>
      <c r="J42">
        <v>200</v>
      </c>
      <c r="K42">
        <v>320</v>
      </c>
      <c r="L42">
        <v>0.8</v>
      </c>
      <c r="N42">
        <v>0.19</v>
      </c>
      <c r="O42">
        <v>0.16</v>
      </c>
      <c r="P42">
        <v>0.26</v>
      </c>
      <c r="Q42">
        <v>19.2</v>
      </c>
      <c r="R42">
        <v>16</v>
      </c>
      <c r="S42">
        <v>25.6</v>
      </c>
      <c r="T42" t="s">
        <v>227</v>
      </c>
      <c r="U42" t="s">
        <v>446</v>
      </c>
      <c r="V42">
        <v>100</v>
      </c>
      <c r="W42">
        <v>0</v>
      </c>
      <c r="X42">
        <v>0</v>
      </c>
      <c r="Y42">
        <v>4.8000000000000001E-2</v>
      </c>
      <c r="Z42">
        <v>5000</v>
      </c>
      <c r="AA42">
        <v>22.863970280256815</v>
      </c>
      <c r="AB42">
        <v>19.053308566880684</v>
      </c>
      <c r="AC42">
        <v>30.485293707009092</v>
      </c>
      <c r="AD42">
        <v>23.317698998791311</v>
      </c>
      <c r="AE42">
        <v>19.431415832326095</v>
      </c>
      <c r="AF42">
        <v>31.090265331721749</v>
      </c>
      <c r="AG42">
        <v>2.3041256643564672</v>
      </c>
      <c r="AH42">
        <v>1.9201047202970565</v>
      </c>
      <c r="AI42">
        <v>3.0721675524752898</v>
      </c>
      <c r="AJ42">
        <v>19.443708284156351</v>
      </c>
      <c r="AK42">
        <v>16.203090236796964</v>
      </c>
      <c r="AL42">
        <v>25.924944378875139</v>
      </c>
      <c r="AP42">
        <v>2.0273707119804096</v>
      </c>
      <c r="AQ42">
        <v>1.6894755933170085</v>
      </c>
      <c r="AR42">
        <v>2.7031609493072128</v>
      </c>
      <c r="AS42">
        <v>1.154073950311169E-3</v>
      </c>
      <c r="AT42">
        <v>9.617282919259743E-4</v>
      </c>
      <c r="AU42">
        <v>1.5387652670815588E-3</v>
      </c>
      <c r="BC42" t="s">
        <v>15</v>
      </c>
    </row>
    <row r="43" spans="1:55" x14ac:dyDescent="0.45">
      <c r="A43" t="s">
        <v>87</v>
      </c>
      <c r="B43" t="s">
        <v>325</v>
      </c>
      <c r="C43">
        <v>8</v>
      </c>
      <c r="D43" t="s">
        <v>275</v>
      </c>
      <c r="E43" t="s">
        <v>103</v>
      </c>
      <c r="F43" t="s">
        <v>334</v>
      </c>
      <c r="G43" t="s">
        <v>272</v>
      </c>
      <c r="H43" t="s">
        <v>225</v>
      </c>
      <c r="I43">
        <v>18</v>
      </c>
      <c r="J43">
        <v>18</v>
      </c>
      <c r="K43">
        <v>18</v>
      </c>
      <c r="L43">
        <v>1</v>
      </c>
      <c r="N43">
        <v>0.02</v>
      </c>
      <c r="O43">
        <v>0.02</v>
      </c>
      <c r="P43">
        <v>0.02</v>
      </c>
      <c r="Q43">
        <v>2.71</v>
      </c>
      <c r="R43">
        <v>2.71</v>
      </c>
      <c r="S43">
        <v>2.71</v>
      </c>
      <c r="T43" t="s">
        <v>226</v>
      </c>
      <c r="U43" t="s">
        <v>408</v>
      </c>
      <c r="V43">
        <v>150.76</v>
      </c>
      <c r="W43">
        <v>0</v>
      </c>
      <c r="X43">
        <v>0</v>
      </c>
      <c r="Y43">
        <v>3.2000000000000001E-2</v>
      </c>
      <c r="Z43">
        <v>562.5</v>
      </c>
      <c r="AA43">
        <v>4.2322772641023754</v>
      </c>
      <c r="AB43">
        <v>4.2322772641023754</v>
      </c>
      <c r="AC43">
        <v>4.2322772641023754</v>
      </c>
      <c r="AD43">
        <v>5.0878934799802336</v>
      </c>
      <c r="AE43">
        <v>5.0878934799802336</v>
      </c>
      <c r="AF43">
        <v>5.0878934799802336</v>
      </c>
      <c r="AG43">
        <v>2.5463115040641155</v>
      </c>
      <c r="AH43">
        <v>2.5463115040641155</v>
      </c>
      <c r="AI43">
        <v>2.5463115040641155</v>
      </c>
      <c r="AJ43">
        <v>43.32657921182188</v>
      </c>
      <c r="AK43">
        <v>43.32657921182188</v>
      </c>
      <c r="AL43">
        <v>43.32657921182188</v>
      </c>
      <c r="AP43">
        <v>1.7389461468424889</v>
      </c>
      <c r="AQ43">
        <v>1.7389461468424889</v>
      </c>
      <c r="AR43">
        <v>1.7389461468424889</v>
      </c>
      <c r="AS43">
        <v>8.1057937491179309E-4</v>
      </c>
      <c r="AT43">
        <v>8.1057937491179309E-4</v>
      </c>
      <c r="AU43">
        <v>8.1057937491179309E-4</v>
      </c>
      <c r="BC43" t="s">
        <v>15</v>
      </c>
    </row>
    <row r="44" spans="1:55" x14ac:dyDescent="0.45">
      <c r="A44" t="s">
        <v>87</v>
      </c>
      <c r="B44" t="s">
        <v>336</v>
      </c>
      <c r="C44">
        <v>0</v>
      </c>
      <c r="D44" t="s">
        <v>10</v>
      </c>
      <c r="E44" t="s">
        <v>89</v>
      </c>
      <c r="F44" t="s">
        <v>353</v>
      </c>
      <c r="G44" t="s">
        <v>354</v>
      </c>
      <c r="H44" t="s">
        <v>225</v>
      </c>
      <c r="I44">
        <v>125</v>
      </c>
      <c r="J44">
        <v>125</v>
      </c>
      <c r="K44">
        <v>125</v>
      </c>
      <c r="L44">
        <v>0.08</v>
      </c>
      <c r="M44">
        <v>1.67</v>
      </c>
      <c r="N44">
        <v>0.01</v>
      </c>
      <c r="O44">
        <v>0.01</v>
      </c>
      <c r="P44">
        <v>0.01</v>
      </c>
      <c r="Q44">
        <v>9.5</v>
      </c>
      <c r="R44">
        <v>9.5</v>
      </c>
      <c r="S44">
        <v>9.5</v>
      </c>
      <c r="T44" t="s">
        <v>447</v>
      </c>
      <c r="U44" t="s">
        <v>448</v>
      </c>
      <c r="V44">
        <v>0</v>
      </c>
      <c r="W44">
        <v>0</v>
      </c>
      <c r="X44">
        <v>5.7</v>
      </c>
      <c r="Y44">
        <v>0</v>
      </c>
      <c r="AA44">
        <v>145.64398110052281</v>
      </c>
      <c r="AB44">
        <v>145.64398110052281</v>
      </c>
      <c r="AC44">
        <v>145.64398110052281</v>
      </c>
      <c r="AD44">
        <v>199.50838875199321</v>
      </c>
      <c r="AE44">
        <v>199.50838875199321</v>
      </c>
      <c r="AF44">
        <v>199.50838875199321</v>
      </c>
      <c r="AG44">
        <v>128.67935488568463</v>
      </c>
      <c r="AH44">
        <v>128.67935488568463</v>
      </c>
      <c r="AI44">
        <v>128.67935488568463</v>
      </c>
      <c r="AJ44">
        <v>1812.6021007340216</v>
      </c>
      <c r="AK44">
        <v>1812.6021007340216</v>
      </c>
      <c r="AL44">
        <v>1812.6021007340216</v>
      </c>
      <c r="AP44">
        <v>44.787271126306123</v>
      </c>
      <c r="AQ44">
        <v>44.787271126306123</v>
      </c>
      <c r="AR44">
        <v>44.787271126306123</v>
      </c>
      <c r="AS44">
        <v>3.2589761043348459E-2</v>
      </c>
      <c r="AT44">
        <v>3.2589761043348459E-2</v>
      </c>
      <c r="AU44">
        <v>3.2589761043348459E-2</v>
      </c>
      <c r="BC44" t="s">
        <v>15</v>
      </c>
    </row>
    <row r="45" spans="1:55" x14ac:dyDescent="0.45">
      <c r="A45" t="s">
        <v>87</v>
      </c>
      <c r="B45" t="s">
        <v>336</v>
      </c>
      <c r="C45">
        <v>0</v>
      </c>
      <c r="D45" t="s">
        <v>10</v>
      </c>
      <c r="E45" t="s">
        <v>89</v>
      </c>
      <c r="F45" t="s">
        <v>294</v>
      </c>
      <c r="G45" t="s">
        <v>294</v>
      </c>
      <c r="H45" t="s">
        <v>225</v>
      </c>
      <c r="I45">
        <v>36</v>
      </c>
      <c r="J45">
        <v>36</v>
      </c>
      <c r="K45">
        <v>36</v>
      </c>
      <c r="L45">
        <v>0.92</v>
      </c>
      <c r="N45">
        <v>0.03</v>
      </c>
      <c r="O45">
        <v>0.03</v>
      </c>
      <c r="P45">
        <v>0.03</v>
      </c>
      <c r="Q45">
        <v>27.5</v>
      </c>
      <c r="R45">
        <v>27.5</v>
      </c>
      <c r="S45">
        <v>27.5</v>
      </c>
      <c r="T45" t="s">
        <v>226</v>
      </c>
      <c r="U45" t="s">
        <v>450</v>
      </c>
      <c r="V45">
        <v>0</v>
      </c>
      <c r="W45">
        <v>30</v>
      </c>
      <c r="X45">
        <v>0</v>
      </c>
      <c r="Y45">
        <v>0.03</v>
      </c>
      <c r="Z45">
        <v>1200</v>
      </c>
      <c r="AA45">
        <v>73.905120285434094</v>
      </c>
      <c r="AB45">
        <v>73.905120285434094</v>
      </c>
      <c r="AC45">
        <v>73.905120285434094</v>
      </c>
      <c r="AD45">
        <v>86.222295975239973</v>
      </c>
      <c r="AE45">
        <v>86.222295975239973</v>
      </c>
      <c r="AF45">
        <v>86.222295975239973</v>
      </c>
      <c r="AG45">
        <v>49.151309772451924</v>
      </c>
      <c r="AH45">
        <v>49.151309772451924</v>
      </c>
      <c r="AI45">
        <v>49.151309772451924</v>
      </c>
      <c r="AJ45">
        <v>708.74113592098593</v>
      </c>
      <c r="AK45">
        <v>708.74113592098593</v>
      </c>
      <c r="AL45">
        <v>708.74113592098593</v>
      </c>
      <c r="AP45">
        <v>15.955298256384834</v>
      </c>
      <c r="AQ45">
        <v>15.955298256384834</v>
      </c>
      <c r="AR45">
        <v>15.955298256384834</v>
      </c>
      <c r="AS45">
        <v>1.2963895241447703E-2</v>
      </c>
      <c r="AT45">
        <v>1.2963895241447703E-2</v>
      </c>
      <c r="AU45">
        <v>1.2963895241447703E-2</v>
      </c>
      <c r="BC45" t="s">
        <v>15</v>
      </c>
    </row>
    <row r="46" spans="1:55" x14ac:dyDescent="0.45">
      <c r="A46" t="s">
        <v>87</v>
      </c>
      <c r="B46" t="s">
        <v>292</v>
      </c>
      <c r="C46">
        <v>9</v>
      </c>
      <c r="D46" t="s">
        <v>42</v>
      </c>
      <c r="E46" t="s">
        <v>105</v>
      </c>
      <c r="F46" t="s">
        <v>292</v>
      </c>
      <c r="G46" t="s">
        <v>292</v>
      </c>
      <c r="H46" t="s">
        <v>225</v>
      </c>
      <c r="I46">
        <v>300</v>
      </c>
      <c r="J46">
        <v>300</v>
      </c>
      <c r="K46">
        <v>300</v>
      </c>
      <c r="L46">
        <v>1</v>
      </c>
      <c r="N46">
        <v>0.3</v>
      </c>
      <c r="O46">
        <v>0.3</v>
      </c>
      <c r="P46">
        <v>0.3</v>
      </c>
      <c r="Q46">
        <v>600</v>
      </c>
      <c r="R46">
        <v>600</v>
      </c>
      <c r="S46">
        <v>600</v>
      </c>
      <c r="U46" t="s">
        <v>412</v>
      </c>
      <c r="V46">
        <v>2000</v>
      </c>
      <c r="W46">
        <v>0</v>
      </c>
      <c r="X46">
        <v>0</v>
      </c>
      <c r="Y46">
        <v>1.1299999999999999</v>
      </c>
      <c r="Z46">
        <v>265.48672566371681</v>
      </c>
      <c r="AA46">
        <v>651.44287653204594</v>
      </c>
      <c r="AB46">
        <v>651.44287653204594</v>
      </c>
      <c r="AC46">
        <v>651.44287653204594</v>
      </c>
      <c r="AD46">
        <v>1455.4725517806539</v>
      </c>
      <c r="AE46">
        <v>1455.4725517806539</v>
      </c>
      <c r="AF46">
        <v>1455.4725517806539</v>
      </c>
      <c r="AG46">
        <v>18.001926368714638</v>
      </c>
      <c r="AH46">
        <v>18.001926368714638</v>
      </c>
      <c r="AI46">
        <v>18.001926368714638</v>
      </c>
      <c r="AJ46">
        <v>243.10411423212778</v>
      </c>
      <c r="AK46">
        <v>243.10411423212778</v>
      </c>
      <c r="AL46">
        <v>243.10411423212778</v>
      </c>
      <c r="AP46">
        <v>52.359780062062384</v>
      </c>
      <c r="AQ46">
        <v>52.359780062062384</v>
      </c>
      <c r="AR46">
        <v>52.359780062062384</v>
      </c>
      <c r="AS46">
        <v>2.5853116174818922E-2</v>
      </c>
      <c r="AT46">
        <v>2.5853116174818922E-2</v>
      </c>
      <c r="AU46">
        <v>2.5853116174818922E-2</v>
      </c>
      <c r="BC46" t="s">
        <v>15</v>
      </c>
    </row>
    <row r="47" spans="1:55" x14ac:dyDescent="0.45">
      <c r="A47" t="s">
        <v>110</v>
      </c>
      <c r="B47" t="s">
        <v>318</v>
      </c>
      <c r="C47">
        <v>3</v>
      </c>
      <c r="D47" t="s">
        <v>312</v>
      </c>
      <c r="E47" t="s">
        <v>116</v>
      </c>
      <c r="F47" t="s">
        <v>321</v>
      </c>
      <c r="G47" t="s">
        <v>256</v>
      </c>
      <c r="H47" t="s">
        <v>225</v>
      </c>
      <c r="I47">
        <v>60</v>
      </c>
      <c r="J47">
        <v>60</v>
      </c>
      <c r="K47">
        <v>60</v>
      </c>
      <c r="L47">
        <v>1</v>
      </c>
      <c r="N47">
        <v>0.06</v>
      </c>
      <c r="O47">
        <v>0.06</v>
      </c>
      <c r="P47">
        <v>0.06</v>
      </c>
      <c r="Q47">
        <v>144</v>
      </c>
      <c r="R47">
        <v>144</v>
      </c>
      <c r="S47">
        <v>144</v>
      </c>
      <c r="T47" t="s">
        <v>226</v>
      </c>
      <c r="U47" t="s">
        <v>376</v>
      </c>
      <c r="V47">
        <v>2400</v>
      </c>
      <c r="W47">
        <v>0</v>
      </c>
      <c r="X47">
        <v>0</v>
      </c>
      <c r="Y47">
        <v>1.4</v>
      </c>
      <c r="Z47">
        <v>42.857142857142861</v>
      </c>
      <c r="AA47">
        <v>173.7555427006632</v>
      </c>
      <c r="AB47">
        <v>173.7555427006632</v>
      </c>
      <c r="AC47">
        <v>173.7555427006632</v>
      </c>
      <c r="AD47">
        <v>186.23830176138387</v>
      </c>
      <c r="AE47">
        <v>186.23830176138387</v>
      </c>
      <c r="AF47">
        <v>186.23830176138387</v>
      </c>
      <c r="AG47">
        <v>33.484183097839633</v>
      </c>
      <c r="AH47">
        <v>33.484183097839633</v>
      </c>
      <c r="AI47">
        <v>33.484183097839633</v>
      </c>
      <c r="AJ47">
        <v>258.6587129254512</v>
      </c>
      <c r="AK47">
        <v>258.6587129254512</v>
      </c>
      <c r="AL47">
        <v>258.6587129254512</v>
      </c>
      <c r="AP47">
        <v>4.81796323001545</v>
      </c>
      <c r="AQ47">
        <v>4.81796323001545</v>
      </c>
      <c r="AR47">
        <v>4.81796323001545</v>
      </c>
      <c r="AS47">
        <v>1.0077054389940488E-2</v>
      </c>
      <c r="AT47">
        <v>1.0077054389940488E-2</v>
      </c>
      <c r="AU47">
        <v>1.0077054389940488E-2</v>
      </c>
      <c r="BC47" t="s">
        <v>15</v>
      </c>
    </row>
    <row r="48" spans="1:55" x14ac:dyDescent="0.45">
      <c r="A48" t="s">
        <v>110</v>
      </c>
      <c r="B48" t="s">
        <v>318</v>
      </c>
      <c r="C48">
        <v>3</v>
      </c>
      <c r="D48" t="s">
        <v>312</v>
      </c>
      <c r="E48" t="s">
        <v>116</v>
      </c>
      <c r="F48" t="s">
        <v>319</v>
      </c>
      <c r="G48" t="s">
        <v>282</v>
      </c>
      <c r="H48" t="s">
        <v>225</v>
      </c>
      <c r="I48">
        <v>0.2</v>
      </c>
      <c r="J48">
        <v>0.2</v>
      </c>
      <c r="K48">
        <v>0.2</v>
      </c>
      <c r="L48">
        <v>1</v>
      </c>
      <c r="N48">
        <v>0</v>
      </c>
      <c r="O48">
        <v>0</v>
      </c>
      <c r="P48">
        <v>0</v>
      </c>
      <c r="Q48">
        <v>0.28000000000000003</v>
      </c>
      <c r="R48">
        <v>0.28000000000000003</v>
      </c>
      <c r="S48">
        <v>0.28000000000000003</v>
      </c>
      <c r="T48" t="s">
        <v>226</v>
      </c>
      <c r="U48" t="s">
        <v>366</v>
      </c>
      <c r="V48">
        <v>1390</v>
      </c>
      <c r="W48">
        <v>0.2</v>
      </c>
      <c r="X48">
        <v>0</v>
      </c>
      <c r="Y48">
        <v>0.17</v>
      </c>
      <c r="Z48">
        <v>1.1764705882352942</v>
      </c>
      <c r="AA48">
        <v>0.56566490833487659</v>
      </c>
      <c r="AB48">
        <v>0.56566490833487659</v>
      </c>
      <c r="AC48">
        <v>0.56566490833487659</v>
      </c>
      <c r="AD48">
        <v>0.70605426967153773</v>
      </c>
      <c r="AE48">
        <v>0.70605426967153773</v>
      </c>
      <c r="AF48">
        <v>0.70605426967153773</v>
      </c>
      <c r="AG48">
        <v>0.55327120946390662</v>
      </c>
      <c r="AH48">
        <v>0.55327120946390662</v>
      </c>
      <c r="AI48">
        <v>0.55327120946390662</v>
      </c>
      <c r="AJ48">
        <v>20.491472968565958</v>
      </c>
      <c r="AK48">
        <v>20.491472968565958</v>
      </c>
      <c r="AL48">
        <v>20.491472968565958</v>
      </c>
      <c r="AP48">
        <v>0.28989199614304856</v>
      </c>
      <c r="AQ48">
        <v>0.28989199614304856</v>
      </c>
      <c r="AR48">
        <v>0.28989199614304856</v>
      </c>
      <c r="AS48">
        <v>2.3771240070454252E-4</v>
      </c>
      <c r="AT48">
        <v>2.3771240070454252E-4</v>
      </c>
      <c r="AU48">
        <v>2.3771240070454252E-4</v>
      </c>
      <c r="BC48" t="s">
        <v>15</v>
      </c>
    </row>
    <row r="49" spans="1:55" x14ac:dyDescent="0.45">
      <c r="A49" t="s">
        <v>110</v>
      </c>
      <c r="B49" t="s">
        <v>318</v>
      </c>
      <c r="C49">
        <v>3</v>
      </c>
      <c r="D49" t="s">
        <v>312</v>
      </c>
      <c r="E49" t="s">
        <v>116</v>
      </c>
      <c r="F49" t="s">
        <v>332</v>
      </c>
      <c r="G49" t="s">
        <v>227</v>
      </c>
      <c r="H49" t="s">
        <v>228</v>
      </c>
      <c r="I49">
        <v>40</v>
      </c>
      <c r="J49">
        <v>0</v>
      </c>
      <c r="K49">
        <v>120</v>
      </c>
      <c r="L49">
        <v>1</v>
      </c>
      <c r="N49">
        <v>0.04</v>
      </c>
      <c r="O49">
        <v>0</v>
      </c>
      <c r="P49">
        <v>0.12</v>
      </c>
      <c r="Q49">
        <v>1.85</v>
      </c>
      <c r="R49">
        <v>0</v>
      </c>
      <c r="S49">
        <v>5.55</v>
      </c>
      <c r="U49" t="s">
        <v>387</v>
      </c>
      <c r="V49">
        <v>46.25</v>
      </c>
      <c r="W49">
        <v>0</v>
      </c>
      <c r="X49">
        <v>0</v>
      </c>
      <c r="Y49">
        <v>4.2000000000000003E-2</v>
      </c>
      <c r="Z49">
        <v>952.38095238095229</v>
      </c>
      <c r="AA49">
        <v>3.5650613285708044</v>
      </c>
      <c r="AB49">
        <v>0</v>
      </c>
      <c r="AC49">
        <v>10.695183985712411</v>
      </c>
      <c r="AD49">
        <v>4.3264074367388643</v>
      </c>
      <c r="AE49">
        <v>0</v>
      </c>
      <c r="AF49">
        <v>12.97922231021659</v>
      </c>
      <c r="AG49">
        <v>1.8311870375301069</v>
      </c>
      <c r="AH49">
        <v>0</v>
      </c>
      <c r="AI49">
        <v>5.4935611125903199</v>
      </c>
      <c r="AJ49">
        <v>39.357787056474841</v>
      </c>
      <c r="AK49">
        <v>0</v>
      </c>
      <c r="AL49">
        <v>118.07336116942452</v>
      </c>
      <c r="AP49">
        <v>2.0048328023872855</v>
      </c>
      <c r="AQ49">
        <v>0</v>
      </c>
      <c r="AR49">
        <v>6.0144984071618559</v>
      </c>
      <c r="AS49">
        <v>7.2248968274475308E-4</v>
      </c>
      <c r="AT49">
        <v>0</v>
      </c>
      <c r="AU49">
        <v>2.1674690482342586E-3</v>
      </c>
      <c r="BC49" t="s">
        <v>15</v>
      </c>
    </row>
    <row r="50" spans="1:55" x14ac:dyDescent="0.45">
      <c r="A50" t="s">
        <v>110</v>
      </c>
      <c r="B50" t="s">
        <v>318</v>
      </c>
      <c r="C50">
        <v>3</v>
      </c>
      <c r="D50" t="s">
        <v>312</v>
      </c>
      <c r="E50" t="s">
        <v>116</v>
      </c>
      <c r="F50" t="s">
        <v>243</v>
      </c>
      <c r="G50" t="s">
        <v>243</v>
      </c>
      <c r="H50" t="s">
        <v>225</v>
      </c>
      <c r="I50">
        <v>240</v>
      </c>
      <c r="J50">
        <v>240</v>
      </c>
      <c r="K50">
        <v>240</v>
      </c>
      <c r="L50">
        <v>0.4</v>
      </c>
      <c r="N50">
        <v>0.1</v>
      </c>
      <c r="O50">
        <v>0.1</v>
      </c>
      <c r="P50">
        <v>0.1</v>
      </c>
      <c r="Q50">
        <v>47.32</v>
      </c>
      <c r="R50">
        <v>47.32</v>
      </c>
      <c r="S50">
        <v>47.32</v>
      </c>
      <c r="T50" t="s">
        <v>451</v>
      </c>
      <c r="U50" t="s">
        <v>443</v>
      </c>
      <c r="V50">
        <v>492.92</v>
      </c>
      <c r="W50">
        <v>0</v>
      </c>
      <c r="X50">
        <v>0</v>
      </c>
      <c r="Y50">
        <v>0.1</v>
      </c>
      <c r="Z50">
        <v>2400</v>
      </c>
      <c r="AA50">
        <v>95.691388953193027</v>
      </c>
      <c r="AB50">
        <v>95.691388953193027</v>
      </c>
      <c r="AC50">
        <v>95.691388953193027</v>
      </c>
      <c r="AD50">
        <v>110.77298355748439</v>
      </c>
      <c r="AE50">
        <v>110.77298355748439</v>
      </c>
      <c r="AF50">
        <v>110.77298355748439</v>
      </c>
      <c r="AG50">
        <v>9.9640688345138742</v>
      </c>
      <c r="AH50">
        <v>9.9640688345138742</v>
      </c>
      <c r="AI50">
        <v>9.9640688345138742</v>
      </c>
      <c r="AJ50">
        <v>180.42477865064654</v>
      </c>
      <c r="AK50">
        <v>180.42477865064654</v>
      </c>
      <c r="AL50">
        <v>180.42477865064654</v>
      </c>
      <c r="AP50">
        <v>4.0192086721652354</v>
      </c>
      <c r="AQ50">
        <v>4.0192086721652354</v>
      </c>
      <c r="AR50">
        <v>4.0192086721652354</v>
      </c>
      <c r="AS50">
        <v>5.1710170534109067E-3</v>
      </c>
      <c r="AT50">
        <v>5.1710170534109067E-3</v>
      </c>
      <c r="AU50">
        <v>5.1710170534109067E-3</v>
      </c>
      <c r="BC50" t="s">
        <v>15</v>
      </c>
    </row>
    <row r="51" spans="1:55" x14ac:dyDescent="0.45">
      <c r="A51" t="s">
        <v>110</v>
      </c>
      <c r="B51" t="s">
        <v>318</v>
      </c>
      <c r="C51">
        <v>3</v>
      </c>
      <c r="D51" t="s">
        <v>312</v>
      </c>
      <c r="E51" t="s">
        <v>116</v>
      </c>
      <c r="F51" t="s">
        <v>324</v>
      </c>
      <c r="G51" t="s">
        <v>240</v>
      </c>
      <c r="H51" t="s">
        <v>225</v>
      </c>
      <c r="I51">
        <v>12.5</v>
      </c>
      <c r="J51">
        <v>12.5</v>
      </c>
      <c r="K51">
        <v>12.5</v>
      </c>
      <c r="L51">
        <v>1</v>
      </c>
      <c r="N51">
        <v>0.01</v>
      </c>
      <c r="O51">
        <v>0.01</v>
      </c>
      <c r="P51">
        <v>0.01</v>
      </c>
      <c r="Q51">
        <v>10</v>
      </c>
      <c r="R51">
        <v>10</v>
      </c>
      <c r="S51">
        <v>10</v>
      </c>
      <c r="T51" t="s">
        <v>226</v>
      </c>
      <c r="U51" t="s">
        <v>392</v>
      </c>
      <c r="V51">
        <v>800</v>
      </c>
      <c r="W51">
        <v>10</v>
      </c>
      <c r="X51">
        <v>0</v>
      </c>
      <c r="Y51">
        <v>0.2</v>
      </c>
      <c r="Z51">
        <v>62.5</v>
      </c>
      <c r="AA51">
        <v>9.6885190926662101</v>
      </c>
      <c r="AB51">
        <v>9.6885190926662101</v>
      </c>
      <c r="AC51">
        <v>9.6885190926662101</v>
      </c>
      <c r="AD51">
        <v>10.504992021872901</v>
      </c>
      <c r="AE51">
        <v>10.504992021872901</v>
      </c>
      <c r="AF51">
        <v>10.504992021872901</v>
      </c>
      <c r="AG51">
        <v>2.5140556386449697</v>
      </c>
      <c r="AH51">
        <v>2.5140556386449697</v>
      </c>
      <c r="AI51">
        <v>2.5140556386449697</v>
      </c>
      <c r="AJ51">
        <v>38.560990916917703</v>
      </c>
      <c r="AK51">
        <v>38.560990916917703</v>
      </c>
      <c r="AL51">
        <v>38.560990916917703</v>
      </c>
      <c r="AP51">
        <v>1.2506783392176499</v>
      </c>
      <c r="AQ51">
        <v>1.2506783392176499</v>
      </c>
      <c r="AR51">
        <v>1.2506783392176499</v>
      </c>
      <c r="AS51">
        <v>8.7990794098609262E-4</v>
      </c>
      <c r="AT51">
        <v>8.7990794098609262E-4</v>
      </c>
      <c r="AU51">
        <v>8.7990794098609262E-4</v>
      </c>
      <c r="BC51" t="s">
        <v>15</v>
      </c>
    </row>
    <row r="52" spans="1:55" x14ac:dyDescent="0.45">
      <c r="A52" t="s">
        <v>110</v>
      </c>
      <c r="B52" t="s">
        <v>318</v>
      </c>
      <c r="C52">
        <v>3</v>
      </c>
      <c r="D52" t="s">
        <v>312</v>
      </c>
      <c r="E52" t="s">
        <v>116</v>
      </c>
      <c r="F52" t="s">
        <v>255</v>
      </c>
      <c r="G52" t="s">
        <v>255</v>
      </c>
      <c r="H52" t="s">
        <v>225</v>
      </c>
      <c r="I52">
        <v>0.3</v>
      </c>
      <c r="J52">
        <v>0.3</v>
      </c>
      <c r="K52">
        <v>0.3</v>
      </c>
      <c r="L52">
        <v>1</v>
      </c>
      <c r="N52">
        <v>0</v>
      </c>
      <c r="O52">
        <v>0</v>
      </c>
      <c r="P52">
        <v>0</v>
      </c>
      <c r="Q52">
        <v>0.36</v>
      </c>
      <c r="R52">
        <v>0.36</v>
      </c>
      <c r="S52">
        <v>0.36</v>
      </c>
      <c r="T52" t="s">
        <v>413</v>
      </c>
      <c r="U52" t="s">
        <v>414</v>
      </c>
      <c r="V52">
        <v>1200</v>
      </c>
      <c r="W52">
        <v>0</v>
      </c>
      <c r="X52">
        <v>0</v>
      </c>
      <c r="Y52">
        <v>0</v>
      </c>
      <c r="AA52">
        <v>18.414918316349567</v>
      </c>
      <c r="AB52">
        <v>18.414918316349567</v>
      </c>
      <c r="AC52">
        <v>18.414918316349567</v>
      </c>
      <c r="AD52">
        <v>19.283701585763701</v>
      </c>
      <c r="AE52">
        <v>19.283701585763701</v>
      </c>
      <c r="AF52">
        <v>19.283701585763701</v>
      </c>
      <c r="AG52">
        <v>1.4819675623276174</v>
      </c>
      <c r="AH52">
        <v>1.4819675623276174</v>
      </c>
      <c r="AI52">
        <v>1.4819675623276174</v>
      </c>
      <c r="AJ52">
        <v>26.487832156511757</v>
      </c>
      <c r="AK52">
        <v>26.487832156511757</v>
      </c>
      <c r="AL52">
        <v>26.487832156511757</v>
      </c>
      <c r="AP52">
        <v>1.5601151185896418</v>
      </c>
      <c r="AQ52">
        <v>1.5601151185896418</v>
      </c>
      <c r="AR52">
        <v>1.5601151185896418</v>
      </c>
      <c r="AS52">
        <v>9.663696742941237E-4</v>
      </c>
      <c r="AT52">
        <v>9.663696742941237E-4</v>
      </c>
      <c r="AU52">
        <v>9.663696742941237E-4</v>
      </c>
      <c r="BC52" t="s">
        <v>15</v>
      </c>
    </row>
    <row r="53" spans="1:55" x14ac:dyDescent="0.45">
      <c r="A53" t="s">
        <v>110</v>
      </c>
      <c r="B53" t="s">
        <v>326</v>
      </c>
      <c r="C53">
        <v>2</v>
      </c>
      <c r="D53" t="s">
        <v>303</v>
      </c>
      <c r="E53" t="s">
        <v>115</v>
      </c>
      <c r="F53" t="s">
        <v>327</v>
      </c>
      <c r="G53" t="s">
        <v>261</v>
      </c>
      <c r="H53" t="s">
        <v>225</v>
      </c>
      <c r="I53">
        <v>12.5</v>
      </c>
      <c r="J53">
        <v>12.5</v>
      </c>
      <c r="K53">
        <v>12.5</v>
      </c>
      <c r="L53">
        <v>1</v>
      </c>
      <c r="N53">
        <v>0.01</v>
      </c>
      <c r="O53">
        <v>0.01</v>
      </c>
      <c r="P53">
        <v>0.01</v>
      </c>
      <c r="Q53">
        <v>10</v>
      </c>
      <c r="R53">
        <v>10</v>
      </c>
      <c r="S53">
        <v>10</v>
      </c>
      <c r="T53" t="s">
        <v>226</v>
      </c>
      <c r="U53" t="s">
        <v>415</v>
      </c>
      <c r="V53">
        <v>800</v>
      </c>
      <c r="W53">
        <v>8.5</v>
      </c>
      <c r="X53">
        <v>0</v>
      </c>
      <c r="Y53">
        <v>0.2</v>
      </c>
      <c r="Z53">
        <v>62.5</v>
      </c>
      <c r="AA53">
        <v>9.6885190926662101</v>
      </c>
      <c r="AB53">
        <v>9.6885190926662101</v>
      </c>
      <c r="AC53">
        <v>9.6885190926662101</v>
      </c>
      <c r="AD53">
        <v>10.504992021872901</v>
      </c>
      <c r="AE53">
        <v>10.504992021872901</v>
      </c>
      <c r="AF53">
        <v>10.504992021872901</v>
      </c>
      <c r="AG53">
        <v>2.5140556386449697</v>
      </c>
      <c r="AH53">
        <v>2.5140556386449697</v>
      </c>
      <c r="AI53">
        <v>2.5140556386449697</v>
      </c>
      <c r="AJ53">
        <v>38.560990916917703</v>
      </c>
      <c r="AK53">
        <v>38.560990916917703</v>
      </c>
      <c r="AL53">
        <v>38.560990916917703</v>
      </c>
      <c r="AP53">
        <v>1.2506783392176499</v>
      </c>
      <c r="AQ53">
        <v>1.2506783392176499</v>
      </c>
      <c r="AR53">
        <v>1.2506783392176499</v>
      </c>
      <c r="AS53">
        <v>8.7990794098609262E-4</v>
      </c>
      <c r="AT53">
        <v>8.7990794098609262E-4</v>
      </c>
      <c r="AU53">
        <v>8.7990794098609262E-4</v>
      </c>
      <c r="BC53" t="s">
        <v>15</v>
      </c>
    </row>
    <row r="54" spans="1:55" x14ac:dyDescent="0.45">
      <c r="A54" t="s">
        <v>110</v>
      </c>
      <c r="B54" t="s">
        <v>326</v>
      </c>
      <c r="C54">
        <v>2</v>
      </c>
      <c r="D54" t="s">
        <v>303</v>
      </c>
      <c r="E54" t="s">
        <v>115</v>
      </c>
      <c r="F54" t="s">
        <v>335</v>
      </c>
      <c r="G54" t="s">
        <v>290</v>
      </c>
      <c r="H54" t="s">
        <v>225</v>
      </c>
      <c r="I54">
        <v>160</v>
      </c>
      <c r="J54">
        <v>160</v>
      </c>
      <c r="K54">
        <v>160</v>
      </c>
      <c r="L54">
        <v>0.2</v>
      </c>
      <c r="M54">
        <v>0.2</v>
      </c>
      <c r="N54">
        <v>0.03</v>
      </c>
      <c r="O54">
        <v>0.03</v>
      </c>
      <c r="P54">
        <v>0.03</v>
      </c>
      <c r="Q54">
        <v>6.08</v>
      </c>
      <c r="R54">
        <v>6.08</v>
      </c>
      <c r="S54">
        <v>6.08</v>
      </c>
      <c r="T54" t="s">
        <v>226</v>
      </c>
      <c r="U54" t="s">
        <v>452</v>
      </c>
      <c r="V54">
        <v>7850</v>
      </c>
      <c r="W54">
        <v>0</v>
      </c>
      <c r="X54">
        <v>30.4</v>
      </c>
      <c r="Y54">
        <v>50</v>
      </c>
      <c r="Z54">
        <v>3.2</v>
      </c>
      <c r="AA54">
        <v>36.119347387548679</v>
      </c>
      <c r="AB54">
        <v>36.119347387548679</v>
      </c>
      <c r="AC54">
        <v>36.119347387548679</v>
      </c>
      <c r="AD54">
        <v>56.376505694449037</v>
      </c>
      <c r="AE54">
        <v>56.376505694449037</v>
      </c>
      <c r="AF54">
        <v>56.376505694449037</v>
      </c>
      <c r="AG54">
        <v>13.238896995263897</v>
      </c>
      <c r="AH54">
        <v>13.238896995263897</v>
      </c>
      <c r="AI54">
        <v>13.238896995263897</v>
      </c>
      <c r="AJ54">
        <v>192.68175266975854</v>
      </c>
      <c r="AK54">
        <v>192.68175266975854</v>
      </c>
      <c r="AL54">
        <v>192.68175266975854</v>
      </c>
      <c r="AP54">
        <v>6.6459238526822819</v>
      </c>
      <c r="AQ54">
        <v>6.6459238526822819</v>
      </c>
      <c r="AR54">
        <v>6.6459238526822819</v>
      </c>
      <c r="AS54">
        <v>4.1565579708814143E-3</v>
      </c>
      <c r="AT54">
        <v>4.1565579708814143E-3</v>
      </c>
      <c r="AU54">
        <v>4.1565579708814143E-3</v>
      </c>
      <c r="BC54" t="s">
        <v>15</v>
      </c>
    </row>
    <row r="55" spans="1:55" x14ac:dyDescent="0.45">
      <c r="A55" t="s">
        <v>110</v>
      </c>
      <c r="B55" t="s">
        <v>326</v>
      </c>
      <c r="C55">
        <v>2</v>
      </c>
      <c r="D55" t="s">
        <v>303</v>
      </c>
      <c r="E55" t="s">
        <v>115</v>
      </c>
      <c r="F55" t="s">
        <v>335</v>
      </c>
      <c r="G55" t="s">
        <v>290</v>
      </c>
      <c r="H55" t="s">
        <v>225</v>
      </c>
      <c r="I55">
        <v>80</v>
      </c>
      <c r="J55">
        <v>80</v>
      </c>
      <c r="K55">
        <v>80</v>
      </c>
      <c r="L55">
        <v>0.2</v>
      </c>
      <c r="M55">
        <v>0.2</v>
      </c>
      <c r="N55">
        <v>0.02</v>
      </c>
      <c r="O55">
        <v>0.02</v>
      </c>
      <c r="P55">
        <v>0.02</v>
      </c>
      <c r="Q55">
        <v>3</v>
      </c>
      <c r="R55">
        <v>3</v>
      </c>
      <c r="S55">
        <v>3</v>
      </c>
      <c r="T55" t="s">
        <v>454</v>
      </c>
      <c r="U55" t="s">
        <v>452</v>
      </c>
      <c r="V55">
        <v>7850</v>
      </c>
      <c r="W55">
        <v>0</v>
      </c>
      <c r="X55">
        <v>15</v>
      </c>
      <c r="Y55">
        <v>50</v>
      </c>
      <c r="Z55">
        <v>1.6</v>
      </c>
      <c r="AA55">
        <v>17.822046408329939</v>
      </c>
      <c r="AB55">
        <v>17.822046408329939</v>
      </c>
      <c r="AC55">
        <v>17.822046408329939</v>
      </c>
      <c r="AD55">
        <v>27.817354783445246</v>
      </c>
      <c r="AE55">
        <v>27.817354783445246</v>
      </c>
      <c r="AF55">
        <v>27.817354783445246</v>
      </c>
      <c r="AG55">
        <v>6.5323504910841592</v>
      </c>
      <c r="AH55">
        <v>6.5323504910841592</v>
      </c>
      <c r="AI55">
        <v>6.5323504910841592</v>
      </c>
      <c r="AJ55">
        <v>95.073233225209805</v>
      </c>
      <c r="AK55">
        <v>95.073233225209805</v>
      </c>
      <c r="AL55">
        <v>95.073233225209805</v>
      </c>
      <c r="AP55">
        <v>3.2792387430998104</v>
      </c>
      <c r="AQ55">
        <v>3.2792387430998104</v>
      </c>
      <c r="AR55">
        <v>3.2792387430998104</v>
      </c>
      <c r="AS55">
        <v>2.0509332093164873E-3</v>
      </c>
      <c r="AT55">
        <v>2.0509332093164873E-3</v>
      </c>
      <c r="AU55">
        <v>2.0509332093164873E-3</v>
      </c>
      <c r="BC55" t="s">
        <v>15</v>
      </c>
    </row>
    <row r="56" spans="1:55" x14ac:dyDescent="0.45">
      <c r="A56" t="s">
        <v>110</v>
      </c>
      <c r="B56" t="s">
        <v>326</v>
      </c>
      <c r="C56">
        <v>2</v>
      </c>
      <c r="D56" t="s">
        <v>303</v>
      </c>
      <c r="E56" t="s">
        <v>115</v>
      </c>
      <c r="F56" t="s">
        <v>337</v>
      </c>
      <c r="G56" t="s">
        <v>270</v>
      </c>
      <c r="H56" t="s">
        <v>228</v>
      </c>
      <c r="I56">
        <v>140</v>
      </c>
      <c r="J56">
        <v>100</v>
      </c>
      <c r="K56">
        <v>220</v>
      </c>
      <c r="L56">
        <v>1</v>
      </c>
      <c r="M56">
        <v>1</v>
      </c>
      <c r="N56">
        <v>0.14000000000000001</v>
      </c>
      <c r="O56">
        <v>0.1</v>
      </c>
      <c r="P56">
        <v>0.22</v>
      </c>
      <c r="Q56">
        <v>4.4800000000000004</v>
      </c>
      <c r="R56">
        <v>3.2</v>
      </c>
      <c r="S56">
        <v>7.04</v>
      </c>
      <c r="T56" t="s">
        <v>417</v>
      </c>
      <c r="U56" t="s">
        <v>369</v>
      </c>
      <c r="V56">
        <v>32</v>
      </c>
      <c r="W56">
        <v>0</v>
      </c>
      <c r="X56">
        <v>0</v>
      </c>
      <c r="Y56">
        <v>3.6999999999999998E-2</v>
      </c>
      <c r="Z56">
        <v>3783.7837837837837</v>
      </c>
      <c r="AA56">
        <v>11.915567487274574</v>
      </c>
      <c r="AB56">
        <v>8.511119633767553</v>
      </c>
      <c r="AC56">
        <v>18.724463194288614</v>
      </c>
      <c r="AD56">
        <v>14.689793254348174</v>
      </c>
      <c r="AE56">
        <v>10.492709467391553</v>
      </c>
      <c r="AF56">
        <v>23.083960828261414</v>
      </c>
      <c r="AG56">
        <v>18.238828078980589</v>
      </c>
      <c r="AH56">
        <v>13.027734342128992</v>
      </c>
      <c r="AI56">
        <v>28.661015552683782</v>
      </c>
      <c r="AJ56">
        <v>422.66865453497041</v>
      </c>
      <c r="AK56">
        <v>301.90618181069311</v>
      </c>
      <c r="AL56">
        <v>664.1935999835249</v>
      </c>
      <c r="AP56">
        <v>14.740010857453953</v>
      </c>
      <c r="AQ56">
        <v>10.52857918389568</v>
      </c>
      <c r="AR56">
        <v>23.162874204570496</v>
      </c>
      <c r="AS56">
        <v>6.3058618078838877E-3</v>
      </c>
      <c r="AT56">
        <v>4.5041870056313476E-3</v>
      </c>
      <c r="AU56">
        <v>9.9092114123889644E-3</v>
      </c>
      <c r="BC56" t="s">
        <v>15</v>
      </c>
    </row>
    <row r="57" spans="1:55" x14ac:dyDescent="0.45">
      <c r="A57" t="s">
        <v>110</v>
      </c>
      <c r="B57" t="s">
        <v>326</v>
      </c>
      <c r="C57">
        <v>2</v>
      </c>
      <c r="D57" t="s">
        <v>303</v>
      </c>
      <c r="E57" t="s">
        <v>115</v>
      </c>
      <c r="F57" t="s">
        <v>338</v>
      </c>
      <c r="G57" t="s">
        <v>262</v>
      </c>
      <c r="H57" t="s">
        <v>225</v>
      </c>
      <c r="I57">
        <v>12.5</v>
      </c>
      <c r="J57">
        <v>12.5</v>
      </c>
      <c r="K57">
        <v>12.5</v>
      </c>
      <c r="L57">
        <v>1</v>
      </c>
      <c r="M57">
        <v>1</v>
      </c>
      <c r="N57">
        <v>0.01</v>
      </c>
      <c r="O57">
        <v>0.01</v>
      </c>
      <c r="P57">
        <v>0.01</v>
      </c>
      <c r="Q57">
        <v>14.75</v>
      </c>
      <c r="R57">
        <v>14.75</v>
      </c>
      <c r="S57">
        <v>14.75</v>
      </c>
      <c r="T57" t="s">
        <v>226</v>
      </c>
      <c r="U57" t="s">
        <v>418</v>
      </c>
      <c r="V57">
        <v>1180</v>
      </c>
      <c r="W57">
        <v>24.07</v>
      </c>
      <c r="X57">
        <v>0</v>
      </c>
      <c r="Y57">
        <v>1.2</v>
      </c>
      <c r="Z57">
        <v>10.416666666666668</v>
      </c>
      <c r="AA57">
        <v>11.875215319731202</v>
      </c>
      <c r="AB57">
        <v>11.875215319731202</v>
      </c>
      <c r="AC57">
        <v>11.875215319731202</v>
      </c>
      <c r="AD57">
        <v>12.798521946138338</v>
      </c>
      <c r="AE57">
        <v>12.798521946138338</v>
      </c>
      <c r="AF57">
        <v>12.798521946138338</v>
      </c>
      <c r="AG57">
        <v>2.7494730811355699</v>
      </c>
      <c r="AH57">
        <v>2.7494730811355699</v>
      </c>
      <c r="AI57">
        <v>2.7494730811355699</v>
      </c>
      <c r="AJ57">
        <v>41.383269420516548</v>
      </c>
      <c r="AK57">
        <v>41.383269420516548</v>
      </c>
      <c r="AL57">
        <v>41.383269420516548</v>
      </c>
      <c r="AP57">
        <v>1.3588455343138353</v>
      </c>
      <c r="AQ57">
        <v>1.3588455343138353</v>
      </c>
      <c r="AR57">
        <v>1.3588455343138353</v>
      </c>
      <c r="AS57">
        <v>9.9093607355654778E-4</v>
      </c>
      <c r="AT57">
        <v>9.9093607355654778E-4</v>
      </c>
      <c r="AU57">
        <v>9.9093607355654778E-4</v>
      </c>
      <c r="BC57" t="s">
        <v>15</v>
      </c>
    </row>
    <row r="58" spans="1:55" x14ac:dyDescent="0.45">
      <c r="A58" t="s">
        <v>110</v>
      </c>
      <c r="B58" t="s">
        <v>339</v>
      </c>
      <c r="C58">
        <v>1</v>
      </c>
      <c r="D58" t="s">
        <v>309</v>
      </c>
      <c r="E58" t="s">
        <v>114</v>
      </c>
      <c r="F58" t="s">
        <v>340</v>
      </c>
      <c r="G58" t="s">
        <v>281</v>
      </c>
      <c r="H58" t="s">
        <v>225</v>
      </c>
      <c r="I58">
        <v>2.5</v>
      </c>
      <c r="J58">
        <v>2.5</v>
      </c>
      <c r="K58">
        <v>2.5</v>
      </c>
      <c r="L58">
        <v>1</v>
      </c>
      <c r="N58">
        <v>0</v>
      </c>
      <c r="O58">
        <v>0</v>
      </c>
      <c r="P58">
        <v>0</v>
      </c>
      <c r="Q58">
        <v>3</v>
      </c>
      <c r="R58">
        <v>3</v>
      </c>
      <c r="S58">
        <v>3</v>
      </c>
      <c r="T58" t="s">
        <v>226</v>
      </c>
      <c r="U58" t="s">
        <v>421</v>
      </c>
      <c r="V58">
        <v>1200</v>
      </c>
      <c r="W58">
        <v>3</v>
      </c>
      <c r="X58">
        <v>0</v>
      </c>
      <c r="Y58">
        <v>0.2</v>
      </c>
      <c r="Z58">
        <v>12.5</v>
      </c>
      <c r="AA58">
        <v>25.892138811192027</v>
      </c>
      <c r="AB58">
        <v>25.892138811192027</v>
      </c>
      <c r="AC58">
        <v>25.892138811192027</v>
      </c>
      <c r="AD58">
        <v>28.559013021728106</v>
      </c>
      <c r="AE58">
        <v>28.559013021728106</v>
      </c>
      <c r="AF58">
        <v>28.559013021728106</v>
      </c>
      <c r="AG58">
        <v>4.8667699335648864</v>
      </c>
      <c r="AH58">
        <v>4.8667699335648864</v>
      </c>
      <c r="AI58">
        <v>4.8667699335648864</v>
      </c>
      <c r="AJ58">
        <v>81.921191415921896</v>
      </c>
      <c r="AK58">
        <v>81.921191415921896</v>
      </c>
      <c r="AL58">
        <v>81.921191415921896</v>
      </c>
      <c r="AP58">
        <v>10.618839375204947</v>
      </c>
      <c r="AQ58">
        <v>10.618839375204947</v>
      </c>
      <c r="AR58">
        <v>10.618839375204947</v>
      </c>
      <c r="AS58">
        <v>2.6762612954026187E-3</v>
      </c>
      <c r="AT58">
        <v>2.6762612954026187E-3</v>
      </c>
      <c r="AU58">
        <v>2.6762612954026187E-3</v>
      </c>
      <c r="BC58" t="s">
        <v>15</v>
      </c>
    </row>
    <row r="59" spans="1:55" x14ac:dyDescent="0.45">
      <c r="A59" t="s">
        <v>110</v>
      </c>
      <c r="B59" t="s">
        <v>339</v>
      </c>
      <c r="C59">
        <v>1</v>
      </c>
      <c r="D59" t="s">
        <v>309</v>
      </c>
      <c r="E59" t="s">
        <v>114</v>
      </c>
      <c r="F59" t="s">
        <v>321</v>
      </c>
      <c r="G59" t="s">
        <v>256</v>
      </c>
      <c r="H59" t="s">
        <v>225</v>
      </c>
      <c r="I59">
        <v>55</v>
      </c>
      <c r="J59">
        <v>55</v>
      </c>
      <c r="K59">
        <v>55</v>
      </c>
      <c r="L59">
        <v>1</v>
      </c>
      <c r="N59">
        <v>0.06</v>
      </c>
      <c r="O59">
        <v>0.06</v>
      </c>
      <c r="P59">
        <v>0.06</v>
      </c>
      <c r="Q59">
        <v>132</v>
      </c>
      <c r="R59">
        <v>132</v>
      </c>
      <c r="S59">
        <v>132</v>
      </c>
      <c r="T59" t="s">
        <v>226</v>
      </c>
      <c r="U59" t="s">
        <v>376</v>
      </c>
      <c r="V59">
        <v>2400</v>
      </c>
      <c r="W59">
        <v>0</v>
      </c>
      <c r="X59">
        <v>0</v>
      </c>
      <c r="Y59">
        <v>1.4</v>
      </c>
      <c r="Z59">
        <v>39.285714285714285</v>
      </c>
      <c r="AA59">
        <v>159.27591414227459</v>
      </c>
      <c r="AB59">
        <v>159.27591414227459</v>
      </c>
      <c r="AC59">
        <v>159.27591414227459</v>
      </c>
      <c r="AD59">
        <v>170.71844328126852</v>
      </c>
      <c r="AE59">
        <v>170.71844328126852</v>
      </c>
      <c r="AF59">
        <v>170.71844328126852</v>
      </c>
      <c r="AG59">
        <v>30.693834506352999</v>
      </c>
      <c r="AH59">
        <v>30.693834506352999</v>
      </c>
      <c r="AI59">
        <v>30.693834506352999</v>
      </c>
      <c r="AJ59">
        <v>237.10382018166359</v>
      </c>
      <c r="AK59">
        <v>237.10382018166359</v>
      </c>
      <c r="AL59">
        <v>237.10382018166359</v>
      </c>
      <c r="AP59">
        <v>4.4164662941808288</v>
      </c>
      <c r="AQ59">
        <v>4.4164662941808288</v>
      </c>
      <c r="AR59">
        <v>4.4164662941808288</v>
      </c>
      <c r="AS59">
        <v>9.2372998574454471E-3</v>
      </c>
      <c r="AT59">
        <v>9.2372998574454471E-3</v>
      </c>
      <c r="AU59">
        <v>9.2372998574454471E-3</v>
      </c>
      <c r="BC59" t="s">
        <v>15</v>
      </c>
    </row>
    <row r="60" spans="1:55" x14ac:dyDescent="0.45">
      <c r="A60" t="s">
        <v>110</v>
      </c>
      <c r="B60" t="s">
        <v>339</v>
      </c>
      <c r="C60">
        <v>1</v>
      </c>
      <c r="D60" t="s">
        <v>309</v>
      </c>
      <c r="E60" t="s">
        <v>114</v>
      </c>
      <c r="F60" t="s">
        <v>341</v>
      </c>
      <c r="G60" t="s">
        <v>269</v>
      </c>
      <c r="H60" t="s">
        <v>228</v>
      </c>
      <c r="I60">
        <v>80</v>
      </c>
      <c r="J60">
        <v>40</v>
      </c>
      <c r="K60">
        <v>160</v>
      </c>
      <c r="L60">
        <v>1</v>
      </c>
      <c r="N60">
        <v>0.08</v>
      </c>
      <c r="O60">
        <v>0.04</v>
      </c>
      <c r="P60">
        <v>0.16</v>
      </c>
      <c r="Q60">
        <v>2</v>
      </c>
      <c r="R60">
        <v>1</v>
      </c>
      <c r="S60">
        <v>4</v>
      </c>
      <c r="T60" t="s">
        <v>226</v>
      </c>
      <c r="U60" t="s">
        <v>379</v>
      </c>
      <c r="V60">
        <v>25</v>
      </c>
      <c r="W60">
        <v>0</v>
      </c>
      <c r="X60">
        <v>0</v>
      </c>
      <c r="Y60">
        <v>0.03</v>
      </c>
      <c r="Z60">
        <v>2666.666666666667</v>
      </c>
      <c r="AA60">
        <v>4.2006849708512597</v>
      </c>
      <c r="AB60">
        <v>2.1003424854256298</v>
      </c>
      <c r="AC60">
        <v>8.4013699417025194</v>
      </c>
      <c r="AD60">
        <v>4.9225694466775201</v>
      </c>
      <c r="AE60">
        <v>2.46128472333876</v>
      </c>
      <c r="AF60">
        <v>9.8451388933550401</v>
      </c>
      <c r="AG60">
        <v>7.3458505619799004</v>
      </c>
      <c r="AH60">
        <v>3.6729252809899502</v>
      </c>
      <c r="AI60">
        <v>14.691701123959801</v>
      </c>
      <c r="AJ60">
        <v>172.43350511395019</v>
      </c>
      <c r="AK60">
        <v>86.216752556975095</v>
      </c>
      <c r="AL60">
        <v>344.86701022790038</v>
      </c>
      <c r="AP60">
        <v>5.2955597894295403</v>
      </c>
      <c r="AQ60">
        <v>2.6477798947147702</v>
      </c>
      <c r="AR60">
        <v>10.591119578859081</v>
      </c>
      <c r="AS60">
        <v>2.4823142245463622E-3</v>
      </c>
      <c r="AT60">
        <v>1.2411571122731811E-3</v>
      </c>
      <c r="AU60">
        <v>4.9646284490927244E-3</v>
      </c>
      <c r="BC60" t="s">
        <v>15</v>
      </c>
    </row>
    <row r="61" spans="1:55" x14ac:dyDescent="0.45">
      <c r="A61" t="s">
        <v>110</v>
      </c>
      <c r="B61" t="s">
        <v>339</v>
      </c>
      <c r="C61">
        <v>1</v>
      </c>
      <c r="D61" t="s">
        <v>309</v>
      </c>
      <c r="E61" t="s">
        <v>114</v>
      </c>
      <c r="F61" t="s">
        <v>319</v>
      </c>
      <c r="G61" t="s">
        <v>282</v>
      </c>
      <c r="H61" t="s">
        <v>225</v>
      </c>
      <c r="I61">
        <v>0.2</v>
      </c>
      <c r="J61">
        <v>0.2</v>
      </c>
      <c r="K61">
        <v>0.2</v>
      </c>
      <c r="L61">
        <v>1</v>
      </c>
      <c r="N61">
        <v>0</v>
      </c>
      <c r="O61">
        <v>0</v>
      </c>
      <c r="P61">
        <v>0</v>
      </c>
      <c r="Q61">
        <v>0.28000000000000003</v>
      </c>
      <c r="R61">
        <v>0.28000000000000003</v>
      </c>
      <c r="S61">
        <v>0.28000000000000003</v>
      </c>
      <c r="T61" t="s">
        <v>226</v>
      </c>
      <c r="U61" t="s">
        <v>366</v>
      </c>
      <c r="V61">
        <v>1390</v>
      </c>
      <c r="W61">
        <v>0.2</v>
      </c>
      <c r="X61">
        <v>0</v>
      </c>
      <c r="Y61">
        <v>0.17</v>
      </c>
      <c r="Z61">
        <v>1.1764705882352942</v>
      </c>
      <c r="AA61">
        <v>0.56566490833487659</v>
      </c>
      <c r="AB61">
        <v>0.56566490833487659</v>
      </c>
      <c r="AC61">
        <v>0.56566490833487659</v>
      </c>
      <c r="AD61">
        <v>0.70605426967153773</v>
      </c>
      <c r="AE61">
        <v>0.70605426967153773</v>
      </c>
      <c r="AF61">
        <v>0.70605426967153773</v>
      </c>
      <c r="AG61">
        <v>0.55327120946390662</v>
      </c>
      <c r="AH61">
        <v>0.55327120946390662</v>
      </c>
      <c r="AI61">
        <v>0.55327120946390662</v>
      </c>
      <c r="AJ61">
        <v>20.491472968565958</v>
      </c>
      <c r="AK61">
        <v>20.491472968565958</v>
      </c>
      <c r="AL61">
        <v>20.491472968565958</v>
      </c>
      <c r="AP61">
        <v>0.28989199614304856</v>
      </c>
      <c r="AQ61">
        <v>0.28989199614304856</v>
      </c>
      <c r="AR61">
        <v>0.28989199614304856</v>
      </c>
      <c r="AS61">
        <v>2.3771240070454252E-4</v>
      </c>
      <c r="AT61">
        <v>2.3771240070454252E-4</v>
      </c>
      <c r="AU61">
        <v>2.3771240070454252E-4</v>
      </c>
      <c r="BC61" t="s">
        <v>15</v>
      </c>
    </row>
    <row r="62" spans="1:55" x14ac:dyDescent="0.45">
      <c r="A62" t="s">
        <v>110</v>
      </c>
      <c r="B62" t="s">
        <v>339</v>
      </c>
      <c r="C62">
        <v>1</v>
      </c>
      <c r="D62" t="s">
        <v>309</v>
      </c>
      <c r="E62" t="s">
        <v>114</v>
      </c>
      <c r="F62" t="s">
        <v>258</v>
      </c>
      <c r="G62" t="s">
        <v>258</v>
      </c>
      <c r="H62" t="s">
        <v>225</v>
      </c>
      <c r="I62">
        <v>200</v>
      </c>
      <c r="J62">
        <v>200</v>
      </c>
      <c r="K62">
        <v>200</v>
      </c>
      <c r="L62">
        <v>0.99</v>
      </c>
      <c r="N62">
        <v>0.2</v>
      </c>
      <c r="O62">
        <v>0.2</v>
      </c>
      <c r="P62">
        <v>0.2</v>
      </c>
      <c r="Q62">
        <v>467.46</v>
      </c>
      <c r="R62">
        <v>467.46</v>
      </c>
      <c r="S62">
        <v>467.46</v>
      </c>
      <c r="T62" t="s">
        <v>378</v>
      </c>
      <c r="U62" t="s">
        <v>456</v>
      </c>
      <c r="V62">
        <v>2360</v>
      </c>
      <c r="W62">
        <v>0</v>
      </c>
      <c r="X62">
        <v>0</v>
      </c>
      <c r="Y62">
        <v>1.4</v>
      </c>
      <c r="Z62">
        <v>142.85714285714286</v>
      </c>
      <c r="AA62">
        <v>485.91717513003096</v>
      </c>
      <c r="AB62">
        <v>485.91717513003096</v>
      </c>
      <c r="AC62">
        <v>485.91717513003096</v>
      </c>
      <c r="AD62">
        <v>508.29023081064747</v>
      </c>
      <c r="AE62">
        <v>508.29023081064747</v>
      </c>
      <c r="AF62">
        <v>508.29023081064747</v>
      </c>
      <c r="AG62">
        <v>53.874509641676447</v>
      </c>
      <c r="AH62">
        <v>53.874509641676447</v>
      </c>
      <c r="AI62">
        <v>53.874509641676447</v>
      </c>
      <c r="AJ62">
        <v>403.18256523836709</v>
      </c>
      <c r="AK62">
        <v>403.18256523836709</v>
      </c>
      <c r="AL62">
        <v>403.18256523836709</v>
      </c>
      <c r="AP62">
        <v>18.878309340484076</v>
      </c>
      <c r="AQ62">
        <v>18.878309340484076</v>
      </c>
      <c r="AR62">
        <v>18.878309340484076</v>
      </c>
      <c r="AS62">
        <v>2.2758948737978974E-2</v>
      </c>
      <c r="AT62">
        <v>2.2758948737978974E-2</v>
      </c>
      <c r="AU62">
        <v>2.2758948737978974E-2</v>
      </c>
      <c r="BC62" t="s">
        <v>15</v>
      </c>
    </row>
    <row r="63" spans="1:55" x14ac:dyDescent="0.45">
      <c r="A63" t="s">
        <v>110</v>
      </c>
      <c r="B63" t="s">
        <v>339</v>
      </c>
      <c r="C63">
        <v>1</v>
      </c>
      <c r="D63" t="s">
        <v>309</v>
      </c>
      <c r="E63" t="s">
        <v>114</v>
      </c>
      <c r="F63" t="s">
        <v>322</v>
      </c>
      <c r="G63" t="s">
        <v>229</v>
      </c>
      <c r="H63" t="s">
        <v>225</v>
      </c>
      <c r="I63">
        <v>200</v>
      </c>
      <c r="J63">
        <v>200</v>
      </c>
      <c r="K63">
        <v>200</v>
      </c>
      <c r="L63">
        <v>0.01</v>
      </c>
      <c r="N63">
        <v>0</v>
      </c>
      <c r="O63">
        <v>0</v>
      </c>
      <c r="P63">
        <v>0</v>
      </c>
      <c r="Q63">
        <v>15.1</v>
      </c>
      <c r="R63">
        <v>15.1</v>
      </c>
      <c r="S63">
        <v>15.1</v>
      </c>
      <c r="T63" t="s">
        <v>457</v>
      </c>
      <c r="U63" t="s">
        <v>436</v>
      </c>
      <c r="V63">
        <v>7850</v>
      </c>
      <c r="W63">
        <v>0</v>
      </c>
      <c r="X63">
        <v>0</v>
      </c>
      <c r="Y63">
        <v>50</v>
      </c>
      <c r="Z63">
        <v>4</v>
      </c>
      <c r="AA63">
        <v>78.961565266522499</v>
      </c>
      <c r="AB63">
        <v>78.961565266522499</v>
      </c>
      <c r="AC63">
        <v>78.961565266522499</v>
      </c>
      <c r="AD63">
        <v>124.62105647031575</v>
      </c>
      <c r="AE63">
        <v>124.62105647031575</v>
      </c>
      <c r="AF63">
        <v>124.62105647031575</v>
      </c>
      <c r="AG63">
        <v>32.713871393735005</v>
      </c>
      <c r="AH63">
        <v>32.713871393735005</v>
      </c>
      <c r="AI63">
        <v>32.713871393735005</v>
      </c>
      <c r="AJ63">
        <v>461.33060721498344</v>
      </c>
      <c r="AK63">
        <v>461.33060721498344</v>
      </c>
      <c r="AL63">
        <v>461.33060721498344</v>
      </c>
      <c r="AP63">
        <v>13.798007463719571</v>
      </c>
      <c r="AQ63">
        <v>13.798007463719571</v>
      </c>
      <c r="AR63">
        <v>13.798007463719571</v>
      </c>
      <c r="AS63">
        <v>9.6512480465876706E-3</v>
      </c>
      <c r="AT63">
        <v>9.6512480465876706E-3</v>
      </c>
      <c r="AU63">
        <v>9.6512480465876706E-3</v>
      </c>
      <c r="BC63" t="s">
        <v>15</v>
      </c>
    </row>
    <row r="64" spans="1:55" x14ac:dyDescent="0.45">
      <c r="A64" t="s">
        <v>117</v>
      </c>
      <c r="B64" t="s">
        <v>342</v>
      </c>
      <c r="C64">
        <v>2</v>
      </c>
      <c r="D64" t="s">
        <v>343</v>
      </c>
      <c r="E64" t="s">
        <v>119</v>
      </c>
      <c r="F64" t="s">
        <v>322</v>
      </c>
      <c r="G64" t="s">
        <v>229</v>
      </c>
      <c r="H64" t="s">
        <v>225</v>
      </c>
      <c r="I64">
        <v>200</v>
      </c>
      <c r="J64">
        <v>200</v>
      </c>
      <c r="K64">
        <v>200</v>
      </c>
      <c r="L64">
        <v>0.01</v>
      </c>
      <c r="N64">
        <v>0</v>
      </c>
      <c r="O64">
        <v>0</v>
      </c>
      <c r="P64">
        <v>0</v>
      </c>
      <c r="Q64">
        <v>15.1</v>
      </c>
      <c r="R64">
        <v>15.1</v>
      </c>
      <c r="S64">
        <v>15.1</v>
      </c>
      <c r="T64" t="s">
        <v>457</v>
      </c>
      <c r="U64" t="s">
        <v>436</v>
      </c>
      <c r="V64">
        <v>7850</v>
      </c>
      <c r="W64">
        <v>0</v>
      </c>
      <c r="X64">
        <v>0</v>
      </c>
      <c r="Y64">
        <v>50</v>
      </c>
      <c r="Z64">
        <v>4</v>
      </c>
      <c r="AA64">
        <v>78.961565266522499</v>
      </c>
      <c r="AB64">
        <v>78.961565266522499</v>
      </c>
      <c r="AC64">
        <v>78.961565266522499</v>
      </c>
      <c r="AD64">
        <v>124.62105647031575</v>
      </c>
      <c r="AE64">
        <v>124.62105647031575</v>
      </c>
      <c r="AF64">
        <v>124.62105647031575</v>
      </c>
      <c r="AG64">
        <v>32.713871393735005</v>
      </c>
      <c r="AH64">
        <v>32.713871393735005</v>
      </c>
      <c r="AI64">
        <v>32.713871393735005</v>
      </c>
      <c r="AJ64">
        <v>461.33060721498344</v>
      </c>
      <c r="AK64">
        <v>461.33060721498344</v>
      </c>
      <c r="AL64">
        <v>461.33060721498344</v>
      </c>
      <c r="AP64">
        <v>13.798007463719571</v>
      </c>
      <c r="AQ64">
        <v>13.798007463719571</v>
      </c>
      <c r="AR64">
        <v>13.798007463719571</v>
      </c>
      <c r="AS64">
        <v>9.6512480465876706E-3</v>
      </c>
      <c r="AT64">
        <v>9.6512480465876706E-3</v>
      </c>
      <c r="AU64">
        <v>9.6512480465876706E-3</v>
      </c>
      <c r="BC64" t="s">
        <v>15</v>
      </c>
    </row>
    <row r="65" spans="1:55" x14ac:dyDescent="0.45">
      <c r="A65" t="s">
        <v>117</v>
      </c>
      <c r="B65" t="s">
        <v>342</v>
      </c>
      <c r="C65">
        <v>2</v>
      </c>
      <c r="D65" t="s">
        <v>343</v>
      </c>
      <c r="E65" t="s">
        <v>119</v>
      </c>
      <c r="F65" t="s">
        <v>307</v>
      </c>
      <c r="G65" t="s">
        <v>224</v>
      </c>
      <c r="H65" t="s">
        <v>225</v>
      </c>
      <c r="I65">
        <v>200</v>
      </c>
      <c r="J65">
        <v>200</v>
      </c>
      <c r="K65">
        <v>200</v>
      </c>
      <c r="L65">
        <v>0.99</v>
      </c>
      <c r="N65">
        <v>0.2</v>
      </c>
      <c r="O65">
        <v>0.2</v>
      </c>
      <c r="P65">
        <v>0.2</v>
      </c>
      <c r="Q65">
        <v>467.46</v>
      </c>
      <c r="R65">
        <v>467.46</v>
      </c>
      <c r="S65">
        <v>467.46</v>
      </c>
      <c r="U65" t="s">
        <v>363</v>
      </c>
      <c r="V65">
        <v>2360</v>
      </c>
      <c r="W65">
        <v>0</v>
      </c>
      <c r="X65">
        <v>0</v>
      </c>
      <c r="Y65">
        <v>1.4</v>
      </c>
      <c r="Z65">
        <v>142.85714285714286</v>
      </c>
      <c r="AA65">
        <v>466.56903407462204</v>
      </c>
      <c r="AB65">
        <v>466.56903407462204</v>
      </c>
      <c r="AC65">
        <v>466.56903407462204</v>
      </c>
      <c r="AD65">
        <v>483.77214609327149</v>
      </c>
      <c r="AE65">
        <v>483.77214609327149</v>
      </c>
      <c r="AF65">
        <v>483.77214609327149</v>
      </c>
      <c r="AG65">
        <v>39.493529271958522</v>
      </c>
      <c r="AH65">
        <v>39.493529271958522</v>
      </c>
      <c r="AI65">
        <v>39.493529271958522</v>
      </c>
      <c r="AJ65">
        <v>309.39589658756137</v>
      </c>
      <c r="AK65">
        <v>309.39589658756137</v>
      </c>
      <c r="AL65">
        <v>309.39589658756137</v>
      </c>
      <c r="AP65">
        <v>19.573895142447551</v>
      </c>
      <c r="AQ65">
        <v>19.573895142447551</v>
      </c>
      <c r="AR65">
        <v>19.573895142447551</v>
      </c>
      <c r="AS65">
        <v>2.0313630481324459E-2</v>
      </c>
      <c r="AT65">
        <v>2.0313630481324459E-2</v>
      </c>
      <c r="AU65">
        <v>2.0313630481324459E-2</v>
      </c>
      <c r="BC65" t="s">
        <v>15</v>
      </c>
    </row>
    <row r="66" spans="1:55" x14ac:dyDescent="0.45">
      <c r="A66" t="s">
        <v>117</v>
      </c>
      <c r="B66" t="s">
        <v>342</v>
      </c>
      <c r="C66">
        <v>2</v>
      </c>
      <c r="D66" t="s">
        <v>343</v>
      </c>
      <c r="E66" t="s">
        <v>119</v>
      </c>
      <c r="F66" t="s">
        <v>319</v>
      </c>
      <c r="G66" t="s">
        <v>282</v>
      </c>
      <c r="H66" t="s">
        <v>225</v>
      </c>
      <c r="I66">
        <v>0.2</v>
      </c>
      <c r="J66">
        <v>0.2</v>
      </c>
      <c r="K66">
        <v>0.2</v>
      </c>
      <c r="L66">
        <v>1</v>
      </c>
      <c r="N66">
        <v>0</v>
      </c>
      <c r="O66">
        <v>0</v>
      </c>
      <c r="P66">
        <v>0</v>
      </c>
      <c r="Q66">
        <v>0.28000000000000003</v>
      </c>
      <c r="R66">
        <v>0.28000000000000003</v>
      </c>
      <c r="S66">
        <v>0.28000000000000003</v>
      </c>
      <c r="T66" t="s">
        <v>226</v>
      </c>
      <c r="U66" t="s">
        <v>366</v>
      </c>
      <c r="V66">
        <v>1390</v>
      </c>
      <c r="W66">
        <v>0.2</v>
      </c>
      <c r="X66">
        <v>0</v>
      </c>
      <c r="Y66">
        <v>0.17</v>
      </c>
      <c r="Z66">
        <v>1.1764705882352942</v>
      </c>
      <c r="AA66">
        <v>0.56566490833487659</v>
      </c>
      <c r="AB66">
        <v>0.56566490833487659</v>
      </c>
      <c r="AC66">
        <v>0.56566490833487659</v>
      </c>
      <c r="AD66">
        <v>0.70605426967153773</v>
      </c>
      <c r="AE66">
        <v>0.70605426967153773</v>
      </c>
      <c r="AF66">
        <v>0.70605426967153773</v>
      </c>
      <c r="AG66">
        <v>0.55327120946390662</v>
      </c>
      <c r="AH66">
        <v>0.55327120946390662</v>
      </c>
      <c r="AI66">
        <v>0.55327120946390662</v>
      </c>
      <c r="AJ66">
        <v>20.491472968565958</v>
      </c>
      <c r="AK66">
        <v>20.491472968565958</v>
      </c>
      <c r="AL66">
        <v>20.491472968565958</v>
      </c>
      <c r="AP66">
        <v>0.28989199614304856</v>
      </c>
      <c r="AQ66">
        <v>0.28989199614304856</v>
      </c>
      <c r="AR66">
        <v>0.28989199614304856</v>
      </c>
      <c r="AS66">
        <v>2.3771240070454252E-4</v>
      </c>
      <c r="AT66">
        <v>2.3771240070454252E-4</v>
      </c>
      <c r="AU66">
        <v>2.3771240070454252E-4</v>
      </c>
      <c r="BC66" t="s">
        <v>15</v>
      </c>
    </row>
    <row r="67" spans="1:55" x14ac:dyDescent="0.45">
      <c r="A67" t="s">
        <v>117</v>
      </c>
      <c r="B67" t="s">
        <v>342</v>
      </c>
      <c r="C67">
        <v>2</v>
      </c>
      <c r="D67" t="s">
        <v>343</v>
      </c>
      <c r="E67" t="s">
        <v>119</v>
      </c>
      <c r="F67" t="s">
        <v>344</v>
      </c>
      <c r="G67" t="s">
        <v>273</v>
      </c>
      <c r="H67" t="s">
        <v>228</v>
      </c>
      <c r="I67">
        <v>120</v>
      </c>
      <c r="J67">
        <v>80</v>
      </c>
      <c r="K67">
        <v>200</v>
      </c>
      <c r="L67">
        <v>1</v>
      </c>
      <c r="N67">
        <v>0.12</v>
      </c>
      <c r="O67">
        <v>0.08</v>
      </c>
      <c r="P67">
        <v>0.2</v>
      </c>
      <c r="Q67">
        <v>3.6</v>
      </c>
      <c r="R67">
        <v>2.4</v>
      </c>
      <c r="S67">
        <v>6</v>
      </c>
      <c r="T67" t="s">
        <v>226</v>
      </c>
      <c r="U67" t="s">
        <v>422</v>
      </c>
      <c r="V67">
        <v>30</v>
      </c>
      <c r="W67">
        <v>0</v>
      </c>
      <c r="X67">
        <v>0</v>
      </c>
      <c r="Y67">
        <v>2.5999999999999999E-2</v>
      </c>
      <c r="Z67">
        <v>4615.3846153846152</v>
      </c>
      <c r="AA67">
        <v>23.216335199521307</v>
      </c>
      <c r="AB67">
        <v>15.477556799680871</v>
      </c>
      <c r="AC67">
        <v>38.693891999202179</v>
      </c>
      <c r="AD67">
        <v>29.308050627900545</v>
      </c>
      <c r="AE67">
        <v>19.538700418600367</v>
      </c>
      <c r="AF67">
        <v>48.846751046500913</v>
      </c>
      <c r="AG67">
        <v>11.251888276319999</v>
      </c>
      <c r="AH67">
        <v>7.5012588508799993</v>
      </c>
      <c r="AI67">
        <v>18.753147127200002</v>
      </c>
      <c r="AJ67">
        <v>261.17116632</v>
      </c>
      <c r="AK67">
        <v>174.11411088</v>
      </c>
      <c r="AL67">
        <v>435.2852772</v>
      </c>
      <c r="AP67">
        <v>19.185573930911747</v>
      </c>
      <c r="AQ67">
        <v>12.790382620607833</v>
      </c>
      <c r="AR67">
        <v>31.97595655151958</v>
      </c>
      <c r="AS67">
        <v>5.220978089262758E-3</v>
      </c>
      <c r="AT67">
        <v>3.4806520595085056E-3</v>
      </c>
      <c r="AU67">
        <v>8.7016301487712645E-3</v>
      </c>
      <c r="BC67" t="s">
        <v>15</v>
      </c>
    </row>
    <row r="68" spans="1:55" x14ac:dyDescent="0.45">
      <c r="A68" t="s">
        <v>117</v>
      </c>
      <c r="B68" t="s">
        <v>342</v>
      </c>
      <c r="C68">
        <v>2</v>
      </c>
      <c r="D68" t="s">
        <v>343</v>
      </c>
      <c r="E68" t="s">
        <v>119</v>
      </c>
      <c r="F68" t="s">
        <v>345</v>
      </c>
      <c r="G68" t="s">
        <v>280</v>
      </c>
      <c r="H68" t="s">
        <v>225</v>
      </c>
      <c r="I68">
        <v>5</v>
      </c>
      <c r="J68">
        <v>5</v>
      </c>
      <c r="K68">
        <v>5</v>
      </c>
      <c r="L68">
        <v>1</v>
      </c>
      <c r="N68">
        <v>0</v>
      </c>
      <c r="O68">
        <v>0</v>
      </c>
      <c r="P68">
        <v>0</v>
      </c>
      <c r="Q68">
        <v>5.75</v>
      </c>
      <c r="R68">
        <v>5.75</v>
      </c>
      <c r="S68">
        <v>5.75</v>
      </c>
      <c r="U68" t="s">
        <v>424</v>
      </c>
      <c r="V68">
        <v>1150</v>
      </c>
      <c r="W68">
        <v>2</v>
      </c>
      <c r="X68">
        <v>0</v>
      </c>
      <c r="Y68">
        <v>0.3</v>
      </c>
      <c r="Z68">
        <v>16.666666666666668</v>
      </c>
      <c r="AA68">
        <v>19.658485352407961</v>
      </c>
      <c r="AB68">
        <v>19.658485352407961</v>
      </c>
      <c r="AC68">
        <v>19.658485352407961</v>
      </c>
      <c r="AD68">
        <v>25.632007958102854</v>
      </c>
      <c r="AE68">
        <v>25.632007958102854</v>
      </c>
      <c r="AF68">
        <v>25.632007958102854</v>
      </c>
      <c r="AG68">
        <v>13.727878671285412</v>
      </c>
      <c r="AH68">
        <v>13.727878671285412</v>
      </c>
      <c r="AI68">
        <v>13.727878671285412</v>
      </c>
      <c r="AJ68">
        <v>463.17637868013645</v>
      </c>
      <c r="AK68">
        <v>463.17637868013645</v>
      </c>
      <c r="AL68">
        <v>463.17637868013645</v>
      </c>
      <c r="AP68">
        <v>11.782133311776372</v>
      </c>
      <c r="AQ68">
        <v>11.782133311776372</v>
      </c>
      <c r="AR68">
        <v>11.782133311776372</v>
      </c>
      <c r="AS68">
        <v>6.1352855214924975E-3</v>
      </c>
      <c r="AT68">
        <v>6.1352855214924975E-3</v>
      </c>
      <c r="AU68">
        <v>6.1352855214924975E-3</v>
      </c>
      <c r="BC68" t="s">
        <v>15</v>
      </c>
    </row>
    <row r="69" spans="1:55" x14ac:dyDescent="0.45">
      <c r="A69" t="s">
        <v>117</v>
      </c>
      <c r="B69" t="s">
        <v>342</v>
      </c>
      <c r="C69">
        <v>2</v>
      </c>
      <c r="D69" t="s">
        <v>343</v>
      </c>
      <c r="E69" t="s">
        <v>119</v>
      </c>
      <c r="F69" t="s">
        <v>346</v>
      </c>
      <c r="G69" t="s">
        <v>287</v>
      </c>
      <c r="H69" t="s">
        <v>225</v>
      </c>
      <c r="I69">
        <v>40</v>
      </c>
      <c r="J69">
        <v>40</v>
      </c>
      <c r="K69">
        <v>40</v>
      </c>
      <c r="L69">
        <v>1</v>
      </c>
      <c r="N69">
        <v>0.04</v>
      </c>
      <c r="O69">
        <v>0.04</v>
      </c>
      <c r="P69">
        <v>0.04</v>
      </c>
      <c r="Q69">
        <v>74</v>
      </c>
      <c r="R69">
        <v>74</v>
      </c>
      <c r="S69">
        <v>74</v>
      </c>
      <c r="T69" t="s">
        <v>226</v>
      </c>
      <c r="U69" t="s">
        <v>426</v>
      </c>
      <c r="V69">
        <v>1850</v>
      </c>
      <c r="W69">
        <v>0</v>
      </c>
      <c r="X69">
        <v>0</v>
      </c>
      <c r="Y69">
        <v>1.4</v>
      </c>
      <c r="Z69">
        <v>28.571428571428573</v>
      </c>
      <c r="AA69">
        <v>77.787970098647634</v>
      </c>
      <c r="AB69">
        <v>77.787970098647634</v>
      </c>
      <c r="AC69">
        <v>77.787970098647634</v>
      </c>
      <c r="AD69">
        <v>78.832555787420873</v>
      </c>
      <c r="AE69">
        <v>78.832555787420873</v>
      </c>
      <c r="AF69">
        <v>78.832555787420873</v>
      </c>
      <c r="AG69">
        <v>0.61379340894079937</v>
      </c>
      <c r="AH69">
        <v>0.61379340894079937</v>
      </c>
      <c r="AI69">
        <v>0.61379340894079937</v>
      </c>
      <c r="AJ69">
        <v>10.80622575386186</v>
      </c>
      <c r="AK69">
        <v>10.80622575386186</v>
      </c>
      <c r="AL69">
        <v>10.80622575386186</v>
      </c>
      <c r="AP69">
        <v>1.1981825784725078</v>
      </c>
      <c r="AQ69">
        <v>1.1981825784725078</v>
      </c>
      <c r="AR69">
        <v>1.1981825784725078</v>
      </c>
      <c r="AS69">
        <v>2.3701427526530514E-3</v>
      </c>
      <c r="AT69">
        <v>2.3701427526530514E-3</v>
      </c>
      <c r="AU69">
        <v>2.3701427526530514E-3</v>
      </c>
      <c r="BC69" t="s">
        <v>15</v>
      </c>
    </row>
    <row r="70" spans="1:55" x14ac:dyDescent="0.45">
      <c r="A70" t="s">
        <v>117</v>
      </c>
      <c r="B70" t="s">
        <v>347</v>
      </c>
      <c r="C70">
        <v>1</v>
      </c>
      <c r="D70" t="s">
        <v>312</v>
      </c>
      <c r="E70" t="s">
        <v>118</v>
      </c>
      <c r="F70" t="s">
        <v>319</v>
      </c>
      <c r="G70" t="s">
        <v>282</v>
      </c>
      <c r="H70" t="s">
        <v>225</v>
      </c>
      <c r="I70">
        <v>0.2</v>
      </c>
      <c r="J70">
        <v>0.2</v>
      </c>
      <c r="K70">
        <v>0.2</v>
      </c>
      <c r="L70">
        <v>1</v>
      </c>
      <c r="N70">
        <v>0</v>
      </c>
      <c r="O70">
        <v>0</v>
      </c>
      <c r="P70">
        <v>0</v>
      </c>
      <c r="Q70">
        <v>0.28000000000000003</v>
      </c>
      <c r="R70">
        <v>0.28000000000000003</v>
      </c>
      <c r="S70">
        <v>0.28000000000000003</v>
      </c>
      <c r="T70" t="s">
        <v>226</v>
      </c>
      <c r="U70" t="s">
        <v>366</v>
      </c>
      <c r="V70">
        <v>1390</v>
      </c>
      <c r="W70">
        <v>0.2</v>
      </c>
      <c r="X70">
        <v>0</v>
      </c>
      <c r="Y70">
        <v>0.17</v>
      </c>
      <c r="Z70">
        <v>1.1764705882352942</v>
      </c>
      <c r="AA70">
        <v>0.56566490833487659</v>
      </c>
      <c r="AB70">
        <v>0.56566490833487659</v>
      </c>
      <c r="AC70">
        <v>0.56566490833487659</v>
      </c>
      <c r="AD70">
        <v>0.70605426967153773</v>
      </c>
      <c r="AE70">
        <v>0.70605426967153773</v>
      </c>
      <c r="AF70">
        <v>0.70605426967153773</v>
      </c>
      <c r="AG70">
        <v>0.55327120946390662</v>
      </c>
      <c r="AH70">
        <v>0.55327120946390662</v>
      </c>
      <c r="AI70">
        <v>0.55327120946390662</v>
      </c>
      <c r="AJ70">
        <v>20.491472968565958</v>
      </c>
      <c r="AK70">
        <v>20.491472968565958</v>
      </c>
      <c r="AL70">
        <v>20.491472968565958</v>
      </c>
      <c r="AP70">
        <v>0.28989199614304856</v>
      </c>
      <c r="AQ70">
        <v>0.28989199614304856</v>
      </c>
      <c r="AR70">
        <v>0.28989199614304856</v>
      </c>
      <c r="AS70">
        <v>2.3771240070454252E-4</v>
      </c>
      <c r="AT70">
        <v>2.3771240070454252E-4</v>
      </c>
      <c r="AU70">
        <v>2.3771240070454252E-4</v>
      </c>
      <c r="BC70" t="s">
        <v>15</v>
      </c>
    </row>
    <row r="71" spans="1:55" x14ac:dyDescent="0.45">
      <c r="A71" t="s">
        <v>117</v>
      </c>
      <c r="B71" t="s">
        <v>347</v>
      </c>
      <c r="C71">
        <v>1</v>
      </c>
      <c r="D71" t="s">
        <v>312</v>
      </c>
      <c r="E71" t="s">
        <v>118</v>
      </c>
      <c r="F71" t="s">
        <v>243</v>
      </c>
      <c r="G71" t="s">
        <v>243</v>
      </c>
      <c r="H71" t="s">
        <v>225</v>
      </c>
      <c r="I71">
        <v>120</v>
      </c>
      <c r="J71">
        <v>120</v>
      </c>
      <c r="K71">
        <v>120</v>
      </c>
      <c r="L71">
        <v>0.03</v>
      </c>
      <c r="N71">
        <v>0</v>
      </c>
      <c r="O71">
        <v>0</v>
      </c>
      <c r="P71">
        <v>0</v>
      </c>
      <c r="Q71">
        <v>1.97</v>
      </c>
      <c r="R71">
        <v>1.97</v>
      </c>
      <c r="S71">
        <v>1.97</v>
      </c>
      <c r="T71" t="s">
        <v>458</v>
      </c>
      <c r="U71" t="s">
        <v>443</v>
      </c>
      <c r="V71">
        <v>492.92</v>
      </c>
      <c r="W71">
        <v>0</v>
      </c>
      <c r="X71">
        <v>0</v>
      </c>
      <c r="Y71">
        <v>0.1</v>
      </c>
      <c r="Z71">
        <v>1200</v>
      </c>
      <c r="AA71">
        <v>3.9871412063830429</v>
      </c>
      <c r="AB71">
        <v>3.9871412063830429</v>
      </c>
      <c r="AC71">
        <v>3.9871412063830429</v>
      </c>
      <c r="AD71">
        <v>4.6155409815618498</v>
      </c>
      <c r="AE71">
        <v>4.6155409815618498</v>
      </c>
      <c r="AF71">
        <v>4.6155409815618498</v>
      </c>
      <c r="AG71">
        <v>0.41516953477141139</v>
      </c>
      <c r="AH71">
        <v>0.41516953477141139</v>
      </c>
      <c r="AI71">
        <v>0.41516953477141139</v>
      </c>
      <c r="AJ71">
        <v>7.5176991104436057</v>
      </c>
      <c r="AK71">
        <v>7.5176991104436057</v>
      </c>
      <c r="AL71">
        <v>7.5176991104436057</v>
      </c>
      <c r="AP71">
        <v>0.16746702800688482</v>
      </c>
      <c r="AQ71">
        <v>0.16746702800688482</v>
      </c>
      <c r="AR71">
        <v>0.16746702800688482</v>
      </c>
      <c r="AS71">
        <v>2.1545904389212115E-4</v>
      </c>
      <c r="AT71">
        <v>2.1545904389212115E-4</v>
      </c>
      <c r="AU71">
        <v>2.1545904389212115E-4</v>
      </c>
      <c r="BC71" t="s">
        <v>15</v>
      </c>
    </row>
    <row r="72" spans="1:55" x14ac:dyDescent="0.45">
      <c r="A72" t="s">
        <v>117</v>
      </c>
      <c r="B72" t="s">
        <v>347</v>
      </c>
      <c r="C72">
        <v>1</v>
      </c>
      <c r="D72" t="s">
        <v>312</v>
      </c>
      <c r="E72" t="s">
        <v>118</v>
      </c>
      <c r="F72" t="s">
        <v>348</v>
      </c>
      <c r="G72" t="s">
        <v>227</v>
      </c>
      <c r="H72" t="s">
        <v>228</v>
      </c>
      <c r="I72">
        <v>120</v>
      </c>
      <c r="J72">
        <v>80</v>
      </c>
      <c r="K72">
        <v>200</v>
      </c>
      <c r="L72">
        <v>0.97</v>
      </c>
      <c r="N72">
        <v>0.12</v>
      </c>
      <c r="O72">
        <v>0.08</v>
      </c>
      <c r="P72">
        <v>0.19</v>
      </c>
      <c r="Q72">
        <v>5.36</v>
      </c>
      <c r="R72">
        <v>3.58</v>
      </c>
      <c r="S72">
        <v>8.94</v>
      </c>
      <c r="T72" t="s">
        <v>226</v>
      </c>
      <c r="U72" t="s">
        <v>387</v>
      </c>
      <c r="V72">
        <v>46.25</v>
      </c>
      <c r="W72">
        <v>0</v>
      </c>
      <c r="X72">
        <v>0</v>
      </c>
      <c r="Y72">
        <v>4.2000000000000003E-2</v>
      </c>
      <c r="Z72">
        <v>2857.1428571428569</v>
      </c>
      <c r="AA72">
        <v>10.33867785285533</v>
      </c>
      <c r="AB72">
        <v>6.8924519019035548</v>
      </c>
      <c r="AC72">
        <v>17.231129754758889</v>
      </c>
      <c r="AD72">
        <v>12.546581566542704</v>
      </c>
      <c r="AE72">
        <v>8.3643877110284706</v>
      </c>
      <c r="AF72">
        <v>20.91096927757118</v>
      </c>
      <c r="AG72">
        <v>5.310442408837309</v>
      </c>
      <c r="AH72">
        <v>3.5402949392248733</v>
      </c>
      <c r="AI72">
        <v>8.850737348062184</v>
      </c>
      <c r="AJ72">
        <v>114.13758246377702</v>
      </c>
      <c r="AK72">
        <v>76.091721642518024</v>
      </c>
      <c r="AL72">
        <v>190.2293041062951</v>
      </c>
      <c r="AP72">
        <v>5.8140151269231266</v>
      </c>
      <c r="AQ72">
        <v>3.8760100846154182</v>
      </c>
      <c r="AR72">
        <v>9.690025211538547</v>
      </c>
      <c r="AS72">
        <v>2.0952200799597832E-3</v>
      </c>
      <c r="AT72">
        <v>1.3968133866398556E-3</v>
      </c>
      <c r="AU72">
        <v>3.4920334665996399E-3</v>
      </c>
      <c r="BC72" t="s">
        <v>15</v>
      </c>
    </row>
    <row r="73" spans="1:55" x14ac:dyDescent="0.45">
      <c r="A73" t="s">
        <v>117</v>
      </c>
      <c r="B73" t="s">
        <v>347</v>
      </c>
      <c r="C73">
        <v>1</v>
      </c>
      <c r="D73" t="s">
        <v>312</v>
      </c>
      <c r="E73" t="s">
        <v>118</v>
      </c>
      <c r="F73" t="s">
        <v>349</v>
      </c>
      <c r="G73" t="s">
        <v>284</v>
      </c>
      <c r="H73" t="s">
        <v>225</v>
      </c>
      <c r="J73">
        <v>0</v>
      </c>
      <c r="K73">
        <v>0</v>
      </c>
      <c r="L73">
        <v>1</v>
      </c>
      <c r="N73">
        <v>0</v>
      </c>
      <c r="O73">
        <v>0</v>
      </c>
      <c r="P73">
        <v>0</v>
      </c>
      <c r="Q73">
        <v>0.15</v>
      </c>
      <c r="R73">
        <v>0.15</v>
      </c>
      <c r="S73">
        <v>0.15</v>
      </c>
      <c r="T73" t="s">
        <v>226</v>
      </c>
      <c r="U73" t="s">
        <v>428</v>
      </c>
      <c r="V73">
        <v>0</v>
      </c>
      <c r="W73">
        <v>0.15</v>
      </c>
      <c r="X73">
        <v>0</v>
      </c>
      <c r="Y73">
        <v>0.22</v>
      </c>
      <c r="Z73">
        <v>0</v>
      </c>
      <c r="AA73">
        <v>0.55734693192457496</v>
      </c>
      <c r="AB73">
        <v>0.55734693192457496</v>
      </c>
      <c r="AC73">
        <v>0.55734693192457496</v>
      </c>
      <c r="AD73">
        <v>0.66592672663025554</v>
      </c>
      <c r="AE73">
        <v>0.66592672663025554</v>
      </c>
      <c r="AF73">
        <v>0.66592672663025554</v>
      </c>
      <c r="AG73">
        <v>0.42493087056683099</v>
      </c>
      <c r="AH73">
        <v>0.42493087056683099</v>
      </c>
      <c r="AI73">
        <v>0.42493087056683099</v>
      </c>
      <c r="AJ73">
        <v>12.66890388061068</v>
      </c>
      <c r="AK73">
        <v>12.66890388061068</v>
      </c>
      <c r="AL73">
        <v>12.66890388061068</v>
      </c>
      <c r="AP73">
        <v>0.18950097800399698</v>
      </c>
      <c r="AQ73">
        <v>0.18950097800399698</v>
      </c>
      <c r="AR73">
        <v>0.18950097800399698</v>
      </c>
      <c r="AS73">
        <v>1.610974356003416E-4</v>
      </c>
      <c r="AT73">
        <v>1.610974356003416E-4</v>
      </c>
      <c r="AU73">
        <v>1.610974356003416E-4</v>
      </c>
      <c r="BC73" t="s">
        <v>15</v>
      </c>
    </row>
    <row r="74" spans="1:55" x14ac:dyDescent="0.45">
      <c r="A74" t="s">
        <v>117</v>
      </c>
      <c r="B74" t="s">
        <v>347</v>
      </c>
      <c r="C74">
        <v>1</v>
      </c>
      <c r="D74" t="s">
        <v>312</v>
      </c>
      <c r="E74" t="s">
        <v>118</v>
      </c>
      <c r="F74" t="s">
        <v>350</v>
      </c>
      <c r="G74" t="s">
        <v>283</v>
      </c>
      <c r="H74" t="s">
        <v>225</v>
      </c>
      <c r="J74">
        <v>0</v>
      </c>
      <c r="K74">
        <v>0</v>
      </c>
      <c r="L74">
        <v>1</v>
      </c>
      <c r="N74">
        <v>0</v>
      </c>
      <c r="O74">
        <v>0</v>
      </c>
      <c r="P74">
        <v>0</v>
      </c>
      <c r="Q74">
        <v>45</v>
      </c>
      <c r="R74">
        <v>45</v>
      </c>
      <c r="S74">
        <v>45</v>
      </c>
      <c r="T74" t="s">
        <v>226</v>
      </c>
      <c r="U74" t="s">
        <v>430</v>
      </c>
      <c r="V74">
        <v>2000</v>
      </c>
      <c r="W74">
        <v>45</v>
      </c>
      <c r="X74">
        <v>0</v>
      </c>
      <c r="Y74">
        <v>1</v>
      </c>
      <c r="Z74">
        <v>0</v>
      </c>
      <c r="AA74">
        <v>69.331363856127908</v>
      </c>
      <c r="AB74">
        <v>69.331363856127908</v>
      </c>
      <c r="AC74">
        <v>69.331363856127908</v>
      </c>
      <c r="AD74">
        <v>149.99494718860157</v>
      </c>
      <c r="AE74">
        <v>149.99494718860157</v>
      </c>
      <c r="AF74">
        <v>149.99494718860157</v>
      </c>
      <c r="AG74">
        <v>15.979782071278215</v>
      </c>
      <c r="AH74">
        <v>15.979782071278215</v>
      </c>
      <c r="AI74">
        <v>15.979782071278215</v>
      </c>
      <c r="AJ74">
        <v>174.72490337954429</v>
      </c>
      <c r="AK74">
        <v>174.72490337954429</v>
      </c>
      <c r="AL74">
        <v>174.72490337954429</v>
      </c>
      <c r="AP74">
        <v>1.6344059088558105</v>
      </c>
      <c r="AQ74">
        <v>1.6344059088558105</v>
      </c>
      <c r="AR74">
        <v>1.6344059088558105</v>
      </c>
      <c r="AS74">
        <v>4.7439787796393082E-3</v>
      </c>
      <c r="AT74">
        <v>4.7439787796393082E-3</v>
      </c>
      <c r="AU74">
        <v>4.7439787796393082E-3</v>
      </c>
      <c r="BC74" t="s">
        <v>15</v>
      </c>
    </row>
    <row r="75" spans="1:55" x14ac:dyDescent="0.45">
      <c r="A75" t="s">
        <v>87</v>
      </c>
      <c r="B75" t="s">
        <v>292</v>
      </c>
      <c r="C75">
        <v>9</v>
      </c>
      <c r="D75" t="s">
        <v>42</v>
      </c>
      <c r="E75" t="s">
        <v>105</v>
      </c>
      <c r="F75" t="s">
        <v>292</v>
      </c>
      <c r="G75" t="s">
        <v>272</v>
      </c>
      <c r="H75" t="s">
        <v>228</v>
      </c>
      <c r="I75">
        <v>100</v>
      </c>
      <c r="J75">
        <v>60</v>
      </c>
      <c r="K75">
        <v>180</v>
      </c>
      <c r="L75">
        <v>1</v>
      </c>
      <c r="N75">
        <v>0.1</v>
      </c>
      <c r="O75">
        <v>0.06</v>
      </c>
      <c r="P75">
        <v>0.18</v>
      </c>
      <c r="Q75">
        <v>15.08</v>
      </c>
      <c r="R75">
        <v>9.0500000000000007</v>
      </c>
      <c r="S75">
        <v>27.14</v>
      </c>
      <c r="U75" t="s">
        <v>408</v>
      </c>
      <c r="V75">
        <v>150.76</v>
      </c>
      <c r="W75">
        <v>0</v>
      </c>
      <c r="X75">
        <v>0</v>
      </c>
      <c r="Y75">
        <v>3.2000000000000001E-2</v>
      </c>
      <c r="Z75">
        <v>3125</v>
      </c>
      <c r="AA75">
        <v>23.512651467235422</v>
      </c>
      <c r="AB75">
        <v>14.107590880341251</v>
      </c>
      <c r="AC75">
        <v>42.322772641023754</v>
      </c>
      <c r="AD75">
        <v>28.26607488877908</v>
      </c>
      <c r="AE75">
        <v>16.959644933267445</v>
      </c>
      <c r="AF75">
        <v>50.878934799802337</v>
      </c>
      <c r="AG75">
        <v>14.146175022578422</v>
      </c>
      <c r="AH75">
        <v>8.4877050135470515</v>
      </c>
      <c r="AI75">
        <v>25.463115040641156</v>
      </c>
      <c r="AJ75">
        <v>240.70321784345492</v>
      </c>
      <c r="AK75">
        <v>144.42193070607291</v>
      </c>
      <c r="AL75">
        <v>433.26579211821883</v>
      </c>
      <c r="AP75">
        <v>9.6608119269027188</v>
      </c>
      <c r="AQ75">
        <v>5.7964871561416302</v>
      </c>
      <c r="AR75">
        <v>17.389461468424891</v>
      </c>
      <c r="AS75">
        <v>4.5032187495099626E-3</v>
      </c>
      <c r="AT75">
        <v>2.7019312497059767E-3</v>
      </c>
      <c r="AU75">
        <v>8.1057937491179309E-3</v>
      </c>
      <c r="BC75" t="s">
        <v>15</v>
      </c>
    </row>
    <row r="76" spans="1:55" x14ac:dyDescent="0.45">
      <c r="A76" t="s">
        <v>87</v>
      </c>
      <c r="B76" t="s">
        <v>292</v>
      </c>
      <c r="C76">
        <v>9</v>
      </c>
      <c r="D76" t="s">
        <v>42</v>
      </c>
      <c r="E76" t="s">
        <v>105</v>
      </c>
      <c r="F76" t="s">
        <v>292</v>
      </c>
      <c r="G76" t="s">
        <v>254</v>
      </c>
      <c r="H76" t="s">
        <v>225</v>
      </c>
      <c r="I76">
        <v>25</v>
      </c>
      <c r="J76">
        <v>10</v>
      </c>
      <c r="K76">
        <v>130</v>
      </c>
      <c r="L76">
        <v>1</v>
      </c>
      <c r="N76">
        <v>0.02</v>
      </c>
      <c r="O76">
        <v>0.01</v>
      </c>
      <c r="P76">
        <v>0.13</v>
      </c>
      <c r="Q76">
        <v>0.03</v>
      </c>
      <c r="R76">
        <v>0.03</v>
      </c>
      <c r="S76">
        <v>0.03</v>
      </c>
      <c r="T76">
        <v>150.76</v>
      </c>
      <c r="U76" t="s">
        <v>432</v>
      </c>
      <c r="V76">
        <v>0</v>
      </c>
      <c r="W76">
        <v>3.2000000000000001E-2</v>
      </c>
      <c r="X76">
        <v>1562.5</v>
      </c>
      <c r="Y76">
        <v>0.66</v>
      </c>
      <c r="Z76">
        <v>37.878787878787875</v>
      </c>
      <c r="AA76">
        <v>2.6871042504857633E-2</v>
      </c>
      <c r="AB76">
        <v>2.6871042504857633E-2</v>
      </c>
      <c r="AC76">
        <v>2.6871042504857633E-2</v>
      </c>
      <c r="AD76">
        <v>3.7573702472240962E-2</v>
      </c>
      <c r="AE76">
        <v>3.7573702472240962E-2</v>
      </c>
      <c r="AF76">
        <v>3.7573702472240962E-2</v>
      </c>
      <c r="AG76">
        <v>1.479291155377949E-3</v>
      </c>
      <c r="AH76">
        <v>1.479291155377949E-3</v>
      </c>
      <c r="AI76">
        <v>1.479291155377949E-3</v>
      </c>
      <c r="AJ76">
        <v>2.2008910053531519E-2</v>
      </c>
      <c r="AK76">
        <v>2.2008910053531519E-2</v>
      </c>
      <c r="AL76">
        <v>2.2008910053531519E-2</v>
      </c>
      <c r="AP76">
        <v>6.3020351380158404E-4</v>
      </c>
      <c r="AQ76">
        <v>6.3020351380158404E-4</v>
      </c>
      <c r="AR76">
        <v>6.3020351380158404E-4</v>
      </c>
      <c r="AS76">
        <v>1.0835384720992508E-6</v>
      </c>
      <c r="AT76">
        <v>1.0835384720992508E-6</v>
      </c>
      <c r="AU76">
        <v>1.0835384720992508E-6</v>
      </c>
      <c r="BC76" t="s">
        <v>15</v>
      </c>
    </row>
    <row r="77" spans="1:55" x14ac:dyDescent="0.45">
      <c r="A77" t="s">
        <v>87</v>
      </c>
      <c r="B77" t="s">
        <v>222</v>
      </c>
      <c r="C77">
        <v>1</v>
      </c>
      <c r="D77" t="s">
        <v>223</v>
      </c>
      <c r="E77" t="s">
        <v>106</v>
      </c>
      <c r="G77" t="s">
        <v>224</v>
      </c>
      <c r="I77">
        <v>300</v>
      </c>
      <c r="J77">
        <v>300</v>
      </c>
      <c r="K77">
        <v>300</v>
      </c>
      <c r="L77">
        <v>1</v>
      </c>
      <c r="N77">
        <v>0.3</v>
      </c>
      <c r="O77">
        <v>0.3</v>
      </c>
      <c r="P77">
        <v>0.3</v>
      </c>
      <c r="Q77">
        <v>708</v>
      </c>
      <c r="R77">
        <v>708</v>
      </c>
      <c r="S77">
        <v>708</v>
      </c>
      <c r="T77" t="s">
        <v>226</v>
      </c>
      <c r="U77" t="s">
        <v>363</v>
      </c>
      <c r="V77">
        <v>2360</v>
      </c>
      <c r="W77">
        <v>0</v>
      </c>
      <c r="X77">
        <v>0</v>
      </c>
      <c r="Y77">
        <v>1.4</v>
      </c>
      <c r="Z77">
        <v>214.28571428571431</v>
      </c>
      <c r="AA77">
        <v>706.64824578292257</v>
      </c>
      <c r="AB77">
        <v>706.64824578292257</v>
      </c>
      <c r="AC77">
        <v>706.64824578292257</v>
      </c>
      <c r="AD77">
        <v>732.70344456844998</v>
      </c>
      <c r="AE77">
        <v>732.70344456844998</v>
      </c>
      <c r="AF77">
        <v>732.70344456844998</v>
      </c>
      <c r="AG77">
        <v>59.815442392480868</v>
      </c>
      <c r="AH77">
        <v>59.815442392480868</v>
      </c>
      <c r="AI77">
        <v>59.815442392480868</v>
      </c>
      <c r="AJ77">
        <v>468.59961036562692</v>
      </c>
      <c r="AK77">
        <v>468.59961036562692</v>
      </c>
      <c r="AL77">
        <v>468.59961036562692</v>
      </c>
      <c r="AP77">
        <v>29.645899439046772</v>
      </c>
      <c r="AQ77">
        <v>29.645899439046772</v>
      </c>
      <c r="AR77">
        <v>29.645899439046772</v>
      </c>
      <c r="AS77">
        <v>3.0766275292103063E-2</v>
      </c>
      <c r="AT77">
        <v>3.0766275292103063E-2</v>
      </c>
      <c r="AU77">
        <v>3.0766275292103063E-2</v>
      </c>
      <c r="AV77" t="s">
        <v>435</v>
      </c>
      <c r="AW77" t="s">
        <v>225</v>
      </c>
      <c r="BC77" t="s">
        <v>15</v>
      </c>
    </row>
    <row r="78" spans="1:55" x14ac:dyDescent="0.45">
      <c r="A78" t="s">
        <v>87</v>
      </c>
      <c r="B78" t="s">
        <v>222</v>
      </c>
      <c r="C78">
        <v>1</v>
      </c>
      <c r="D78" t="s">
        <v>223</v>
      </c>
      <c r="E78" t="s">
        <v>106</v>
      </c>
      <c r="G78" t="s">
        <v>227</v>
      </c>
      <c r="I78">
        <v>100</v>
      </c>
      <c r="J78">
        <v>60</v>
      </c>
      <c r="K78">
        <v>180</v>
      </c>
      <c r="L78">
        <v>1</v>
      </c>
      <c r="N78">
        <v>0.1</v>
      </c>
      <c r="O78">
        <v>0.06</v>
      </c>
      <c r="P78">
        <v>0.18</v>
      </c>
      <c r="Q78">
        <v>4.62</v>
      </c>
      <c r="R78">
        <v>2.78</v>
      </c>
      <c r="S78">
        <v>8.32</v>
      </c>
      <c r="T78" t="s">
        <v>226</v>
      </c>
      <c r="U78" t="s">
        <v>387</v>
      </c>
      <c r="V78">
        <v>46.25</v>
      </c>
      <c r="W78">
        <v>0</v>
      </c>
      <c r="X78">
        <v>0</v>
      </c>
      <c r="Y78">
        <v>4.2000000000000003E-2</v>
      </c>
      <c r="Z78">
        <v>2380.9523809523807</v>
      </c>
      <c r="AA78">
        <v>8.9126533214270101</v>
      </c>
      <c r="AB78">
        <v>5.3475919928562057</v>
      </c>
      <c r="AC78">
        <v>16.042775978568617</v>
      </c>
      <c r="AD78">
        <v>10.816018591847159</v>
      </c>
      <c r="AE78">
        <v>6.4896111551082951</v>
      </c>
      <c r="AF78">
        <v>19.468833465324884</v>
      </c>
      <c r="AG78">
        <v>4.5779675938252673</v>
      </c>
      <c r="AH78">
        <v>2.7467805562951599</v>
      </c>
      <c r="AI78">
        <v>8.2403416688854794</v>
      </c>
      <c r="AJ78">
        <v>98.394467641187106</v>
      </c>
      <c r="AK78">
        <v>59.036680584712258</v>
      </c>
      <c r="AL78">
        <v>177.11004175413677</v>
      </c>
      <c r="AP78">
        <v>5.012082005968213</v>
      </c>
      <c r="AQ78">
        <v>3.007249203580928</v>
      </c>
      <c r="AR78">
        <v>9.0217476107427839</v>
      </c>
      <c r="AS78">
        <v>1.8062242068618824E-3</v>
      </c>
      <c r="AT78">
        <v>1.0837345241171293E-3</v>
      </c>
      <c r="AU78">
        <v>3.2512035723513879E-3</v>
      </c>
      <c r="AV78" t="s">
        <v>435</v>
      </c>
      <c r="AW78" t="s">
        <v>228</v>
      </c>
      <c r="BC78" t="s">
        <v>15</v>
      </c>
    </row>
    <row r="79" spans="1:55" x14ac:dyDescent="0.45">
      <c r="A79" t="s">
        <v>87</v>
      </c>
      <c r="B79" t="s">
        <v>222</v>
      </c>
      <c r="C79">
        <v>1</v>
      </c>
      <c r="D79" t="s">
        <v>223</v>
      </c>
      <c r="E79" t="s">
        <v>106</v>
      </c>
      <c r="G79" t="s">
        <v>229</v>
      </c>
      <c r="J79">
        <v>0</v>
      </c>
      <c r="K79">
        <v>0</v>
      </c>
      <c r="L79">
        <v>1</v>
      </c>
      <c r="N79">
        <v>0</v>
      </c>
      <c r="O79">
        <v>0</v>
      </c>
      <c r="P79">
        <v>0</v>
      </c>
      <c r="Q79">
        <v>30</v>
      </c>
      <c r="R79">
        <v>30</v>
      </c>
      <c r="S79">
        <v>30</v>
      </c>
      <c r="T79" t="s">
        <v>226</v>
      </c>
      <c r="U79" t="s">
        <v>436</v>
      </c>
      <c r="V79">
        <v>7850</v>
      </c>
      <c r="W79">
        <v>30</v>
      </c>
      <c r="X79">
        <v>0</v>
      </c>
      <c r="Y79">
        <v>50</v>
      </c>
      <c r="Z79">
        <v>0</v>
      </c>
      <c r="AA79">
        <v>156.9172507207326</v>
      </c>
      <c r="AB79">
        <v>156.9172507207326</v>
      </c>
      <c r="AC79">
        <v>156.9172507207326</v>
      </c>
      <c r="AD79">
        <v>247.65458355884402</v>
      </c>
      <c r="AE79">
        <v>247.65458355884402</v>
      </c>
      <c r="AF79">
        <v>247.65458355884402</v>
      </c>
      <c r="AG79">
        <v>65.011005572263201</v>
      </c>
      <c r="AH79">
        <v>65.011005572263201</v>
      </c>
      <c r="AI79">
        <v>65.011005572263201</v>
      </c>
      <c r="AJ79">
        <v>916.78439140811997</v>
      </c>
      <c r="AK79">
        <v>916.78439140811997</v>
      </c>
      <c r="AL79">
        <v>916.78439140811997</v>
      </c>
      <c r="AP79">
        <v>27.420244131722967</v>
      </c>
      <c r="AQ79">
        <v>27.420244131722967</v>
      </c>
      <c r="AR79">
        <v>27.420244131722967</v>
      </c>
      <c r="AS79">
        <v>1.9179550258186965E-2</v>
      </c>
      <c r="AT79">
        <v>1.9179550258186965E-2</v>
      </c>
      <c r="AU79">
        <v>1.9179550258186965E-2</v>
      </c>
      <c r="AV79" t="s">
        <v>435</v>
      </c>
      <c r="AW79" t="s">
        <v>225</v>
      </c>
      <c r="AZ79">
        <v>30</v>
      </c>
      <c r="BC79" t="s">
        <v>15</v>
      </c>
    </row>
    <row r="80" spans="1:55" x14ac:dyDescent="0.45">
      <c r="A80" t="s">
        <v>87</v>
      </c>
      <c r="B80" t="s">
        <v>222</v>
      </c>
      <c r="C80">
        <v>2</v>
      </c>
      <c r="D80" t="s">
        <v>230</v>
      </c>
      <c r="E80" t="s">
        <v>109</v>
      </c>
      <c r="G80" t="s">
        <v>231</v>
      </c>
      <c r="I80">
        <v>300</v>
      </c>
      <c r="J80">
        <v>300</v>
      </c>
      <c r="K80">
        <v>300</v>
      </c>
      <c r="L80">
        <v>1</v>
      </c>
      <c r="N80">
        <v>0.3</v>
      </c>
      <c r="O80">
        <v>0.3</v>
      </c>
      <c r="P80">
        <v>0.3</v>
      </c>
      <c r="Q80">
        <v>720</v>
      </c>
      <c r="R80">
        <v>720</v>
      </c>
      <c r="S80">
        <v>720</v>
      </c>
      <c r="T80" t="s">
        <v>226</v>
      </c>
      <c r="U80" t="s">
        <v>371</v>
      </c>
      <c r="V80">
        <v>2400</v>
      </c>
      <c r="W80">
        <v>0</v>
      </c>
      <c r="X80">
        <v>0</v>
      </c>
      <c r="Y80">
        <v>1.4</v>
      </c>
      <c r="Z80">
        <v>214.28571428571431</v>
      </c>
      <c r="AA80">
        <v>545.15049187433442</v>
      </c>
      <c r="AB80">
        <v>545.15049187433442</v>
      </c>
      <c r="AC80">
        <v>545.15049187433442</v>
      </c>
      <c r="AD80">
        <v>591.41349759573052</v>
      </c>
      <c r="AE80">
        <v>591.41349759573052</v>
      </c>
      <c r="AF80">
        <v>591.41349759573052</v>
      </c>
      <c r="AG80">
        <v>60.829263449980544</v>
      </c>
      <c r="AH80">
        <v>60.829263449980544</v>
      </c>
      <c r="AI80">
        <v>60.829263449980544</v>
      </c>
      <c r="AJ80">
        <v>404.7989216955844</v>
      </c>
      <c r="AK80">
        <v>404.7989216955844</v>
      </c>
      <c r="AL80">
        <v>404.7989216955844</v>
      </c>
      <c r="AP80">
        <v>30.926048843169628</v>
      </c>
      <c r="AQ80">
        <v>30.926048843169628</v>
      </c>
      <c r="AR80">
        <v>30.926048843169628</v>
      </c>
      <c r="AS80">
        <v>2.6091738479764114E-2</v>
      </c>
      <c r="AT80">
        <v>2.6091738479764114E-2</v>
      </c>
      <c r="AU80">
        <v>2.6091738479764114E-2</v>
      </c>
      <c r="AV80" t="s">
        <v>435</v>
      </c>
      <c r="AW80" t="s">
        <v>225</v>
      </c>
      <c r="BC80" t="s">
        <v>15</v>
      </c>
    </row>
    <row r="81" spans="1:57" x14ac:dyDescent="0.45">
      <c r="A81" t="s">
        <v>87</v>
      </c>
      <c r="B81" t="s">
        <v>222</v>
      </c>
      <c r="C81">
        <v>2</v>
      </c>
      <c r="D81" t="s">
        <v>230</v>
      </c>
      <c r="E81" t="s">
        <v>109</v>
      </c>
      <c r="G81" t="s">
        <v>227</v>
      </c>
      <c r="I81">
        <v>100</v>
      </c>
      <c r="J81">
        <v>60</v>
      </c>
      <c r="K81">
        <v>180</v>
      </c>
      <c r="L81">
        <v>1</v>
      </c>
      <c r="N81">
        <v>0.1</v>
      </c>
      <c r="O81">
        <v>0.06</v>
      </c>
      <c r="P81">
        <v>0.18</v>
      </c>
      <c r="Q81">
        <v>4.62</v>
      </c>
      <c r="R81">
        <v>2.78</v>
      </c>
      <c r="S81">
        <v>8.32</v>
      </c>
      <c r="T81" t="s">
        <v>226</v>
      </c>
      <c r="U81" t="s">
        <v>387</v>
      </c>
      <c r="V81">
        <v>46.25</v>
      </c>
      <c r="W81">
        <v>0</v>
      </c>
      <c r="X81">
        <v>0</v>
      </c>
      <c r="Y81">
        <v>4.2000000000000003E-2</v>
      </c>
      <c r="Z81">
        <v>2380.9523809523807</v>
      </c>
      <c r="AA81">
        <v>8.9126533214270101</v>
      </c>
      <c r="AB81">
        <v>5.3475919928562057</v>
      </c>
      <c r="AC81">
        <v>16.042775978568617</v>
      </c>
      <c r="AD81">
        <v>10.816018591847159</v>
      </c>
      <c r="AE81">
        <v>6.4896111551082951</v>
      </c>
      <c r="AF81">
        <v>19.468833465324884</v>
      </c>
      <c r="AG81">
        <v>4.5779675938252673</v>
      </c>
      <c r="AH81">
        <v>2.7467805562951599</v>
      </c>
      <c r="AI81">
        <v>8.2403416688854794</v>
      </c>
      <c r="AJ81">
        <v>98.394467641187106</v>
      </c>
      <c r="AK81">
        <v>59.036680584712258</v>
      </c>
      <c r="AL81">
        <v>177.11004175413677</v>
      </c>
      <c r="AP81">
        <v>5.012082005968213</v>
      </c>
      <c r="AQ81">
        <v>3.007249203580928</v>
      </c>
      <c r="AR81">
        <v>9.0217476107427839</v>
      </c>
      <c r="AS81">
        <v>1.8062242068618824E-3</v>
      </c>
      <c r="AT81">
        <v>1.0837345241171293E-3</v>
      </c>
      <c r="AU81">
        <v>3.2512035723513879E-3</v>
      </c>
      <c r="AV81" t="s">
        <v>435</v>
      </c>
      <c r="AW81" t="s">
        <v>228</v>
      </c>
      <c r="BC81" t="s">
        <v>15</v>
      </c>
    </row>
    <row r="82" spans="1:57" x14ac:dyDescent="0.45">
      <c r="A82" t="s">
        <v>87</v>
      </c>
      <c r="B82" t="s">
        <v>222</v>
      </c>
      <c r="C82">
        <v>2</v>
      </c>
      <c r="D82" t="s">
        <v>230</v>
      </c>
      <c r="E82" t="s">
        <v>109</v>
      </c>
      <c r="G82" t="s">
        <v>229</v>
      </c>
      <c r="J82">
        <v>0</v>
      </c>
      <c r="K82">
        <v>0</v>
      </c>
      <c r="L82">
        <v>1</v>
      </c>
      <c r="N82">
        <v>0</v>
      </c>
      <c r="O82">
        <v>0</v>
      </c>
      <c r="P82">
        <v>0</v>
      </c>
      <c r="Q82">
        <v>30</v>
      </c>
      <c r="R82">
        <v>30</v>
      </c>
      <c r="S82">
        <v>30</v>
      </c>
      <c r="T82" t="s">
        <v>226</v>
      </c>
      <c r="U82" t="s">
        <v>436</v>
      </c>
      <c r="V82">
        <v>7850</v>
      </c>
      <c r="W82">
        <v>30</v>
      </c>
      <c r="X82">
        <v>0</v>
      </c>
      <c r="Y82">
        <v>50</v>
      </c>
      <c r="Z82">
        <v>0</v>
      </c>
      <c r="AA82">
        <v>156.9172507207326</v>
      </c>
      <c r="AB82">
        <v>156.9172507207326</v>
      </c>
      <c r="AC82">
        <v>156.9172507207326</v>
      </c>
      <c r="AD82">
        <v>247.65458355884402</v>
      </c>
      <c r="AE82">
        <v>247.65458355884402</v>
      </c>
      <c r="AF82">
        <v>247.65458355884402</v>
      </c>
      <c r="AG82">
        <v>65.011005572263201</v>
      </c>
      <c r="AH82">
        <v>65.011005572263201</v>
      </c>
      <c r="AI82">
        <v>65.011005572263201</v>
      </c>
      <c r="AJ82">
        <v>916.78439140811997</v>
      </c>
      <c r="AK82">
        <v>916.78439140811997</v>
      </c>
      <c r="AL82">
        <v>916.78439140811997</v>
      </c>
      <c r="AP82">
        <v>27.420244131722967</v>
      </c>
      <c r="AQ82">
        <v>27.420244131722967</v>
      </c>
      <c r="AR82">
        <v>27.420244131722967</v>
      </c>
      <c r="AS82">
        <v>1.9179550258186965E-2</v>
      </c>
      <c r="AT82">
        <v>1.9179550258186965E-2</v>
      </c>
      <c r="AU82">
        <v>1.9179550258186965E-2</v>
      </c>
      <c r="AV82" t="s">
        <v>435</v>
      </c>
      <c r="AW82" t="s">
        <v>225</v>
      </c>
      <c r="AZ82">
        <v>30</v>
      </c>
      <c r="BC82" t="s">
        <v>15</v>
      </c>
    </row>
    <row r="83" spans="1:57" x14ac:dyDescent="0.45">
      <c r="A83" t="s">
        <v>120</v>
      </c>
      <c r="B83" t="s">
        <v>232</v>
      </c>
      <c r="C83">
        <v>1</v>
      </c>
      <c r="D83" t="s">
        <v>233</v>
      </c>
      <c r="E83" t="s">
        <v>121</v>
      </c>
      <c r="G83" t="s">
        <v>234</v>
      </c>
      <c r="J83">
        <v>0</v>
      </c>
      <c r="K83">
        <v>0</v>
      </c>
      <c r="L83">
        <v>1</v>
      </c>
      <c r="N83">
        <v>0</v>
      </c>
      <c r="O83">
        <v>0</v>
      </c>
      <c r="P83">
        <v>0</v>
      </c>
      <c r="Q83">
        <v>37.5</v>
      </c>
      <c r="R83">
        <v>37.5</v>
      </c>
      <c r="S83">
        <v>37.5</v>
      </c>
      <c r="T83" t="s">
        <v>226</v>
      </c>
      <c r="U83" t="s">
        <v>438</v>
      </c>
      <c r="V83">
        <v>0</v>
      </c>
      <c r="W83">
        <v>0</v>
      </c>
      <c r="X83">
        <v>37.5</v>
      </c>
      <c r="Y83">
        <v>0</v>
      </c>
      <c r="AA83">
        <v>337.16441522880586</v>
      </c>
      <c r="AB83">
        <v>337.16441522880586</v>
      </c>
      <c r="AC83">
        <v>337.16441522880586</v>
      </c>
      <c r="AD83">
        <v>0</v>
      </c>
      <c r="AE83">
        <v>0</v>
      </c>
      <c r="AF83">
        <v>0</v>
      </c>
      <c r="AG83">
        <v>147.92889814445365</v>
      </c>
      <c r="AH83">
        <v>147.92889814445365</v>
      </c>
      <c r="AI83">
        <v>147.92889814445365</v>
      </c>
      <c r="AJ83">
        <v>2268.8821976397385</v>
      </c>
      <c r="AK83">
        <v>2268.8821976397385</v>
      </c>
      <c r="AL83">
        <v>2268.8821976397385</v>
      </c>
      <c r="AP83">
        <v>86.198059095900007</v>
      </c>
      <c r="AQ83">
        <v>86.198059095900007</v>
      </c>
      <c r="AR83">
        <v>86.198059095900007</v>
      </c>
      <c r="AS83">
        <v>4.6508343456039054E-2</v>
      </c>
      <c r="AT83">
        <v>4.6508343456039054E-2</v>
      </c>
      <c r="AU83">
        <v>4.6508343456039054E-2</v>
      </c>
      <c r="AV83" t="s">
        <v>435</v>
      </c>
      <c r="AW83" t="s">
        <v>225</v>
      </c>
      <c r="AX83">
        <v>1</v>
      </c>
      <c r="BC83" t="s">
        <v>15</v>
      </c>
    </row>
    <row r="84" spans="1:57" x14ac:dyDescent="0.45">
      <c r="A84" t="s">
        <v>120</v>
      </c>
      <c r="B84" t="s">
        <v>232</v>
      </c>
      <c r="C84">
        <v>2</v>
      </c>
      <c r="D84" t="s">
        <v>235</v>
      </c>
      <c r="E84" t="s">
        <v>122</v>
      </c>
      <c r="G84" t="s">
        <v>236</v>
      </c>
      <c r="J84">
        <v>0</v>
      </c>
      <c r="K84">
        <v>0</v>
      </c>
      <c r="L84">
        <v>1</v>
      </c>
      <c r="N84">
        <v>0</v>
      </c>
      <c r="O84">
        <v>0</v>
      </c>
      <c r="P84">
        <v>0</v>
      </c>
      <c r="Q84">
        <v>37.5</v>
      </c>
      <c r="R84">
        <v>37.5</v>
      </c>
      <c r="S84">
        <v>37.5</v>
      </c>
      <c r="T84" t="s">
        <v>226</v>
      </c>
      <c r="U84" t="s">
        <v>440</v>
      </c>
      <c r="V84">
        <v>0</v>
      </c>
      <c r="W84">
        <v>0</v>
      </c>
      <c r="X84">
        <v>37.5</v>
      </c>
      <c r="Y84">
        <v>0</v>
      </c>
      <c r="AA84">
        <v>0</v>
      </c>
      <c r="AB84">
        <v>0</v>
      </c>
      <c r="AC84">
        <v>0</v>
      </c>
      <c r="AD84">
        <v>0</v>
      </c>
      <c r="AE84">
        <v>0</v>
      </c>
      <c r="AF84">
        <v>0</v>
      </c>
      <c r="AG84">
        <v>0</v>
      </c>
      <c r="AH84">
        <v>0</v>
      </c>
      <c r="AI84">
        <v>0</v>
      </c>
      <c r="AJ84">
        <v>0</v>
      </c>
      <c r="AK84">
        <v>0</v>
      </c>
      <c r="AL84">
        <v>0</v>
      </c>
      <c r="AP84">
        <v>0</v>
      </c>
      <c r="AQ84">
        <v>0</v>
      </c>
      <c r="AR84">
        <v>0</v>
      </c>
      <c r="AS84">
        <v>0</v>
      </c>
      <c r="AT84">
        <v>0</v>
      </c>
      <c r="AU84">
        <v>0</v>
      </c>
      <c r="AV84" t="s">
        <v>435</v>
      </c>
      <c r="AW84" t="s">
        <v>225</v>
      </c>
      <c r="AX84">
        <v>1</v>
      </c>
      <c r="BC84" t="s">
        <v>15</v>
      </c>
    </row>
    <row r="85" spans="1:57" x14ac:dyDescent="0.45">
      <c r="A85" t="s">
        <v>123</v>
      </c>
      <c r="B85" t="s">
        <v>237</v>
      </c>
      <c r="C85">
        <v>1</v>
      </c>
      <c r="D85" t="s">
        <v>238</v>
      </c>
      <c r="E85" t="s">
        <v>124</v>
      </c>
      <c r="F85" t="s">
        <v>239</v>
      </c>
      <c r="G85" t="s">
        <v>240</v>
      </c>
      <c r="I85">
        <v>125</v>
      </c>
      <c r="J85">
        <v>125</v>
      </c>
      <c r="K85">
        <v>125</v>
      </c>
      <c r="L85">
        <v>1</v>
      </c>
      <c r="N85">
        <v>0.12</v>
      </c>
      <c r="O85">
        <v>0.12</v>
      </c>
      <c r="P85">
        <v>0.12</v>
      </c>
      <c r="Q85">
        <v>100</v>
      </c>
      <c r="R85">
        <v>100</v>
      </c>
      <c r="S85">
        <v>100</v>
      </c>
      <c r="T85" t="s">
        <v>226</v>
      </c>
      <c r="U85" t="s">
        <v>392</v>
      </c>
      <c r="V85">
        <v>800</v>
      </c>
      <c r="W85">
        <v>10</v>
      </c>
      <c r="X85">
        <v>0</v>
      </c>
      <c r="Y85">
        <v>0.2</v>
      </c>
      <c r="Z85">
        <v>625</v>
      </c>
      <c r="AA85">
        <v>96.885190926662105</v>
      </c>
      <c r="AB85">
        <v>96.885190926662105</v>
      </c>
      <c r="AC85">
        <v>96.885190926662105</v>
      </c>
      <c r="AD85">
        <v>105.04992021872901</v>
      </c>
      <c r="AE85">
        <v>105.04992021872901</v>
      </c>
      <c r="AF85">
        <v>105.04992021872901</v>
      </c>
      <c r="AG85">
        <v>25.140556386449695</v>
      </c>
      <c r="AH85">
        <v>25.140556386449695</v>
      </c>
      <c r="AI85">
        <v>25.140556386449695</v>
      </c>
      <c r="AJ85">
        <v>385.609909169177</v>
      </c>
      <c r="AK85">
        <v>385.609909169177</v>
      </c>
      <c r="AL85">
        <v>385.609909169177</v>
      </c>
      <c r="AP85">
        <v>12.506783392176498</v>
      </c>
      <c r="AQ85">
        <v>12.506783392176498</v>
      </c>
      <c r="AR85">
        <v>12.506783392176498</v>
      </c>
      <c r="AS85">
        <v>8.799079409860926E-3</v>
      </c>
      <c r="AT85">
        <v>8.799079409860926E-3</v>
      </c>
      <c r="AU85">
        <v>8.799079409860926E-3</v>
      </c>
      <c r="AV85" t="s">
        <v>435</v>
      </c>
      <c r="AW85" t="s">
        <v>225</v>
      </c>
      <c r="BC85" t="s">
        <v>15</v>
      </c>
    </row>
    <row r="86" spans="1:57" x14ac:dyDescent="0.45">
      <c r="A86" t="s">
        <v>123</v>
      </c>
      <c r="B86" t="s">
        <v>237</v>
      </c>
      <c r="C86">
        <v>1</v>
      </c>
      <c r="D86" t="s">
        <v>238</v>
      </c>
      <c r="E86" t="s">
        <v>124</v>
      </c>
      <c r="F86" t="s">
        <v>241</v>
      </c>
      <c r="G86" t="s">
        <v>227</v>
      </c>
      <c r="I86">
        <v>100</v>
      </c>
      <c r="J86">
        <v>60</v>
      </c>
      <c r="K86">
        <v>180</v>
      </c>
      <c r="L86">
        <v>1</v>
      </c>
      <c r="N86">
        <v>0.1</v>
      </c>
      <c r="O86">
        <v>0.06</v>
      </c>
      <c r="P86">
        <v>0.18</v>
      </c>
      <c r="Q86">
        <v>4.62</v>
      </c>
      <c r="R86">
        <v>2.78</v>
      </c>
      <c r="S86">
        <v>8.32</v>
      </c>
      <c r="T86" t="s">
        <v>226</v>
      </c>
      <c r="U86" t="s">
        <v>387</v>
      </c>
      <c r="V86">
        <v>46.25</v>
      </c>
      <c r="W86">
        <v>0</v>
      </c>
      <c r="X86">
        <v>0</v>
      </c>
      <c r="Y86">
        <v>4.2000000000000003E-2</v>
      </c>
      <c r="Z86">
        <v>2380.9523809523807</v>
      </c>
      <c r="AA86">
        <v>8.9126533214270101</v>
      </c>
      <c r="AB86">
        <v>5.3475919928562057</v>
      </c>
      <c r="AC86">
        <v>16.042775978568617</v>
      </c>
      <c r="AD86">
        <v>10.816018591847159</v>
      </c>
      <c r="AE86">
        <v>6.4896111551082951</v>
      </c>
      <c r="AF86">
        <v>19.468833465324884</v>
      </c>
      <c r="AG86">
        <v>4.5779675938252673</v>
      </c>
      <c r="AH86">
        <v>2.7467805562951599</v>
      </c>
      <c r="AI86">
        <v>8.2403416688854794</v>
      </c>
      <c r="AJ86">
        <v>98.394467641187106</v>
      </c>
      <c r="AK86">
        <v>59.036680584712258</v>
      </c>
      <c r="AL86">
        <v>177.11004175413677</v>
      </c>
      <c r="AP86">
        <v>5.012082005968213</v>
      </c>
      <c r="AQ86">
        <v>3.007249203580928</v>
      </c>
      <c r="AR86">
        <v>9.0217476107427839</v>
      </c>
      <c r="AS86">
        <v>1.8062242068618824E-3</v>
      </c>
      <c r="AT86">
        <v>1.0837345241171293E-3</v>
      </c>
      <c r="AU86">
        <v>3.2512035723513879E-3</v>
      </c>
      <c r="AV86" t="s">
        <v>435</v>
      </c>
      <c r="AW86" t="s">
        <v>228</v>
      </c>
      <c r="BC86" t="s">
        <v>15</v>
      </c>
    </row>
    <row r="87" spans="1:57" x14ac:dyDescent="0.45">
      <c r="A87" t="s">
        <v>123</v>
      </c>
      <c r="B87" t="s">
        <v>237</v>
      </c>
      <c r="C87">
        <v>1</v>
      </c>
      <c r="D87" t="s">
        <v>238</v>
      </c>
      <c r="E87" t="s">
        <v>124</v>
      </c>
      <c r="F87" t="s">
        <v>242</v>
      </c>
      <c r="G87" t="s">
        <v>243</v>
      </c>
      <c r="I87">
        <v>75</v>
      </c>
      <c r="J87">
        <v>75</v>
      </c>
      <c r="K87">
        <v>75</v>
      </c>
      <c r="L87">
        <v>0.1</v>
      </c>
      <c r="N87">
        <v>0.01</v>
      </c>
      <c r="O87">
        <v>0.01</v>
      </c>
      <c r="P87">
        <v>0.01</v>
      </c>
      <c r="Q87">
        <v>3.7</v>
      </c>
      <c r="R87">
        <v>3.7</v>
      </c>
      <c r="S87">
        <v>3.7</v>
      </c>
      <c r="T87" t="s">
        <v>226</v>
      </c>
      <c r="U87" t="s">
        <v>443</v>
      </c>
      <c r="V87">
        <v>492.92</v>
      </c>
      <c r="W87">
        <v>0</v>
      </c>
      <c r="X87">
        <v>0</v>
      </c>
      <c r="Y87">
        <v>0.1</v>
      </c>
      <c r="Z87">
        <v>750</v>
      </c>
      <c r="AA87">
        <v>7.4758897619682054</v>
      </c>
      <c r="AB87">
        <v>7.4758897619682054</v>
      </c>
      <c r="AC87">
        <v>7.4758897619682054</v>
      </c>
      <c r="AD87">
        <v>8.6541393404284683</v>
      </c>
      <c r="AE87">
        <v>8.6541393404284683</v>
      </c>
      <c r="AF87">
        <v>8.6541393404284683</v>
      </c>
      <c r="AG87">
        <v>0.77844287769639631</v>
      </c>
      <c r="AH87">
        <v>0.77844287769639631</v>
      </c>
      <c r="AI87">
        <v>0.77844287769639631</v>
      </c>
      <c r="AJ87">
        <v>14.09568583208176</v>
      </c>
      <c r="AK87">
        <v>14.09568583208176</v>
      </c>
      <c r="AL87">
        <v>14.09568583208176</v>
      </c>
      <c r="AP87">
        <v>0.314000677512909</v>
      </c>
      <c r="AQ87">
        <v>0.314000677512909</v>
      </c>
      <c r="AR87">
        <v>0.314000677512909</v>
      </c>
      <c r="AS87">
        <v>4.039857072977271E-4</v>
      </c>
      <c r="AT87">
        <v>4.039857072977271E-4</v>
      </c>
      <c r="AU87">
        <v>4.039857072977271E-4</v>
      </c>
      <c r="AV87" t="s">
        <v>435</v>
      </c>
      <c r="AW87" t="s">
        <v>225</v>
      </c>
      <c r="BC87" t="s">
        <v>15</v>
      </c>
    </row>
    <row r="88" spans="1:57" x14ac:dyDescent="0.45">
      <c r="A88" t="s">
        <v>53</v>
      </c>
      <c r="B88" t="s">
        <v>302</v>
      </c>
      <c r="D88" t="s">
        <v>303</v>
      </c>
      <c r="E88" t="s">
        <v>86</v>
      </c>
      <c r="F88" t="s">
        <v>304</v>
      </c>
      <c r="G88" t="s">
        <v>224</v>
      </c>
      <c r="AA88">
        <v>1.0294808580687997</v>
      </c>
      <c r="AB88">
        <v>1.0294808580687997</v>
      </c>
      <c r="AC88">
        <v>1.0294808580687997</v>
      </c>
      <c r="AD88">
        <v>1.2269835695874511</v>
      </c>
      <c r="AE88">
        <v>1.2269835695874511</v>
      </c>
      <c r="AF88">
        <v>1.2269835695874511</v>
      </c>
      <c r="AG88">
        <v>1.1421342603838736</v>
      </c>
      <c r="AH88">
        <v>1.1421342603838736</v>
      </c>
      <c r="AI88">
        <v>1.1421342603838736</v>
      </c>
      <c r="AJ88">
        <v>7.1260489571999992</v>
      </c>
      <c r="AK88">
        <v>7.1260489571999992</v>
      </c>
      <c r="AL88">
        <v>7.1260489571999992</v>
      </c>
      <c r="AP88">
        <v>7.7498724860567261E-2</v>
      </c>
      <c r="AQ88">
        <v>7.7498724860567261E-2</v>
      </c>
      <c r="AR88">
        <v>7.7498724860567261E-2</v>
      </c>
      <c r="AS88">
        <v>1.897576548113335E-4</v>
      </c>
      <c r="AT88">
        <v>1.897576548113335E-4</v>
      </c>
      <c r="AU88">
        <v>1.897576548113335E-4</v>
      </c>
      <c r="BC88" t="s">
        <v>17</v>
      </c>
      <c r="BD88">
        <v>50</v>
      </c>
      <c r="BE88" t="s">
        <v>253</v>
      </c>
    </row>
    <row r="89" spans="1:57" x14ac:dyDescent="0.45">
      <c r="A89" t="s">
        <v>53</v>
      </c>
      <c r="B89" t="s">
        <v>306</v>
      </c>
      <c r="D89" t="s">
        <v>303</v>
      </c>
      <c r="E89" t="s">
        <v>71</v>
      </c>
      <c r="F89" t="s">
        <v>304</v>
      </c>
      <c r="G89" t="s">
        <v>224</v>
      </c>
      <c r="AA89">
        <v>1.0294808580687997</v>
      </c>
      <c r="AB89">
        <v>1.0294808580687997</v>
      </c>
      <c r="AC89">
        <v>1.0294808580687997</v>
      </c>
      <c r="AD89">
        <v>1.2269835695874511</v>
      </c>
      <c r="AE89">
        <v>1.2269835695874511</v>
      </c>
      <c r="AF89">
        <v>1.2269835695874511</v>
      </c>
      <c r="AG89">
        <v>1.1421342603838736</v>
      </c>
      <c r="AH89">
        <v>1.1421342603838736</v>
      </c>
      <c r="AI89">
        <v>1.1421342603838736</v>
      </c>
      <c r="AJ89">
        <v>7.1260489571999992</v>
      </c>
      <c r="AK89">
        <v>7.1260489571999992</v>
      </c>
      <c r="AL89">
        <v>7.1260489571999992</v>
      </c>
      <c r="AP89">
        <v>7.7498724860567261E-2</v>
      </c>
      <c r="AQ89">
        <v>7.7498724860567261E-2</v>
      </c>
      <c r="AR89">
        <v>7.7498724860567261E-2</v>
      </c>
      <c r="AS89">
        <v>1.897576548113335E-4</v>
      </c>
      <c r="AT89">
        <v>1.897576548113335E-4</v>
      </c>
      <c r="AU89">
        <v>1.897576548113335E-4</v>
      </c>
      <c r="BC89" t="s">
        <v>17</v>
      </c>
      <c r="BD89">
        <v>50</v>
      </c>
      <c r="BE89" t="s">
        <v>253</v>
      </c>
    </row>
    <row r="90" spans="1:57" x14ac:dyDescent="0.45">
      <c r="A90" t="s">
        <v>53</v>
      </c>
      <c r="B90" t="s">
        <v>306</v>
      </c>
      <c r="D90" t="s">
        <v>303</v>
      </c>
      <c r="E90" t="s">
        <v>71</v>
      </c>
      <c r="F90" t="s">
        <v>307</v>
      </c>
      <c r="G90" t="s">
        <v>224</v>
      </c>
      <c r="AA90">
        <v>8.2358468645503979</v>
      </c>
      <c r="AB90">
        <v>8.2358468645503979</v>
      </c>
      <c r="AC90">
        <v>8.2358468645503979</v>
      </c>
      <c r="AD90">
        <v>9.8158685566996091</v>
      </c>
      <c r="AE90">
        <v>9.8158685566996091</v>
      </c>
      <c r="AF90">
        <v>9.8158685566996091</v>
      </c>
      <c r="AG90">
        <v>9.1370740830709885</v>
      </c>
      <c r="AH90">
        <v>9.1370740830709885</v>
      </c>
      <c r="AI90">
        <v>9.1370740830709885</v>
      </c>
      <c r="AJ90">
        <v>57.008391657599994</v>
      </c>
      <c r="AK90">
        <v>57.008391657599994</v>
      </c>
      <c r="AL90">
        <v>57.008391657599994</v>
      </c>
      <c r="AP90">
        <v>0.61998979888453809</v>
      </c>
      <c r="AQ90">
        <v>0.61998979888453809</v>
      </c>
      <c r="AR90">
        <v>0.61998979888453809</v>
      </c>
      <c r="AS90">
        <v>1.518061238490668E-3</v>
      </c>
      <c r="AT90">
        <v>1.518061238490668E-3</v>
      </c>
      <c r="AU90">
        <v>1.518061238490668E-3</v>
      </c>
      <c r="BC90" t="s">
        <v>17</v>
      </c>
      <c r="BD90">
        <v>50</v>
      </c>
      <c r="BE90" t="s">
        <v>253</v>
      </c>
    </row>
    <row r="91" spans="1:57" x14ac:dyDescent="0.45">
      <c r="A91" t="s">
        <v>87</v>
      </c>
      <c r="B91" t="s">
        <v>308</v>
      </c>
      <c r="D91" t="s">
        <v>309</v>
      </c>
      <c r="E91" t="s">
        <v>90</v>
      </c>
      <c r="F91" t="s">
        <v>310</v>
      </c>
      <c r="G91" t="s">
        <v>252</v>
      </c>
      <c r="AA91">
        <v>0.13740952131003048</v>
      </c>
      <c r="AB91">
        <v>0.13740952131003048</v>
      </c>
      <c r="AC91">
        <v>0.13740952131003048</v>
      </c>
      <c r="AD91">
        <v>0.16377111204239284</v>
      </c>
      <c r="AE91">
        <v>0.16377111204239284</v>
      </c>
      <c r="AF91">
        <v>0.16377111204239284</v>
      </c>
      <c r="AG91">
        <v>0.15244588644954243</v>
      </c>
      <c r="AH91">
        <v>0.15244588644954243</v>
      </c>
      <c r="AI91">
        <v>0.15244588644954243</v>
      </c>
      <c r="AJ91">
        <v>0.95114636504999994</v>
      </c>
      <c r="AK91">
        <v>0.95114636504999994</v>
      </c>
      <c r="AL91">
        <v>0.95114636504999994</v>
      </c>
      <c r="AP91">
        <v>1.0344109462321477E-2</v>
      </c>
      <c r="AQ91">
        <v>1.0344109462321477E-2</v>
      </c>
      <c r="AR91">
        <v>1.0344109462321477E-2</v>
      </c>
      <c r="AS91">
        <v>2.5327822570156801E-5</v>
      </c>
      <c r="AT91">
        <v>2.5327822570156801E-5</v>
      </c>
      <c r="AU91">
        <v>2.5327822570156801E-5</v>
      </c>
      <c r="BC91" t="s">
        <v>17</v>
      </c>
      <c r="BD91">
        <v>50</v>
      </c>
      <c r="BE91" t="s">
        <v>253</v>
      </c>
    </row>
    <row r="92" spans="1:57" x14ac:dyDescent="0.45">
      <c r="A92" t="s">
        <v>87</v>
      </c>
      <c r="B92" t="s">
        <v>311</v>
      </c>
      <c r="D92" t="s">
        <v>312</v>
      </c>
      <c r="E92" t="s">
        <v>97</v>
      </c>
      <c r="F92" t="s">
        <v>310</v>
      </c>
      <c r="G92" t="s">
        <v>252</v>
      </c>
      <c r="AA92">
        <v>0.13740952131003048</v>
      </c>
      <c r="AB92">
        <v>0.13740952131003048</v>
      </c>
      <c r="AC92">
        <v>0.13740952131003048</v>
      </c>
      <c r="AD92">
        <v>0.16377111204239284</v>
      </c>
      <c r="AE92">
        <v>0.16377111204239284</v>
      </c>
      <c r="AF92">
        <v>0.16377111204239284</v>
      </c>
      <c r="AG92">
        <v>0.15244588644954243</v>
      </c>
      <c r="AH92">
        <v>0.15244588644954243</v>
      </c>
      <c r="AI92">
        <v>0.15244588644954243</v>
      </c>
      <c r="AJ92">
        <v>0.95114636504999994</v>
      </c>
      <c r="AK92">
        <v>0.95114636504999994</v>
      </c>
      <c r="AL92">
        <v>0.95114636504999994</v>
      </c>
      <c r="AP92">
        <v>1.0344109462321477E-2</v>
      </c>
      <c r="AQ92">
        <v>1.0344109462321477E-2</v>
      </c>
      <c r="AR92">
        <v>1.0344109462321477E-2</v>
      </c>
      <c r="AS92">
        <v>2.5327822570156801E-5</v>
      </c>
      <c r="AT92">
        <v>2.5327822570156801E-5</v>
      </c>
      <c r="AU92">
        <v>2.5327822570156801E-5</v>
      </c>
      <c r="BC92" t="s">
        <v>17</v>
      </c>
      <c r="BD92">
        <v>50</v>
      </c>
      <c r="BE92" t="s">
        <v>253</v>
      </c>
    </row>
    <row r="93" spans="1:57" x14ac:dyDescent="0.45">
      <c r="A93" t="s">
        <v>87</v>
      </c>
      <c r="B93" t="s">
        <v>308</v>
      </c>
      <c r="D93" t="s">
        <v>313</v>
      </c>
      <c r="E93" t="s">
        <v>93</v>
      </c>
      <c r="F93" t="s">
        <v>310</v>
      </c>
      <c r="G93" t="s">
        <v>252</v>
      </c>
      <c r="AA93">
        <v>0.13740952131003048</v>
      </c>
      <c r="AB93">
        <v>0.13740952131003048</v>
      </c>
      <c r="AC93">
        <v>0.13740952131003048</v>
      </c>
      <c r="AD93">
        <v>0.16377111204239284</v>
      </c>
      <c r="AE93">
        <v>0.16377111204239284</v>
      </c>
      <c r="AF93">
        <v>0.16377111204239284</v>
      </c>
      <c r="AG93">
        <v>0.15244588644954243</v>
      </c>
      <c r="AH93">
        <v>0.15244588644954243</v>
      </c>
      <c r="AI93">
        <v>0.15244588644954243</v>
      </c>
      <c r="AJ93">
        <v>0.95114636504999994</v>
      </c>
      <c r="AK93">
        <v>0.95114636504999994</v>
      </c>
      <c r="AL93">
        <v>0.95114636504999994</v>
      </c>
      <c r="AP93">
        <v>1.0344109462321477E-2</v>
      </c>
      <c r="AQ93">
        <v>1.0344109462321477E-2</v>
      </c>
      <c r="AR93">
        <v>1.0344109462321477E-2</v>
      </c>
      <c r="AS93">
        <v>2.5327822570156801E-5</v>
      </c>
      <c r="AT93">
        <v>2.5327822570156801E-5</v>
      </c>
      <c r="AU93">
        <v>2.5327822570156801E-5</v>
      </c>
      <c r="BC93" t="s">
        <v>17</v>
      </c>
      <c r="BD93">
        <v>50</v>
      </c>
      <c r="BE93" t="s">
        <v>253</v>
      </c>
    </row>
    <row r="94" spans="1:57" x14ac:dyDescent="0.45">
      <c r="A94" t="s">
        <v>87</v>
      </c>
      <c r="B94" t="s">
        <v>308</v>
      </c>
      <c r="D94" t="s">
        <v>314</v>
      </c>
      <c r="E94" t="s">
        <v>96</v>
      </c>
      <c r="F94" t="s">
        <v>310</v>
      </c>
      <c r="G94" t="s">
        <v>252</v>
      </c>
      <c r="AA94">
        <v>0.13740952131003048</v>
      </c>
      <c r="AB94">
        <v>0.13740952131003048</v>
      </c>
      <c r="AC94">
        <v>0.13740952131003048</v>
      </c>
      <c r="AD94">
        <v>0.16377111204239284</v>
      </c>
      <c r="AE94">
        <v>0.16377111204239284</v>
      </c>
      <c r="AF94">
        <v>0.16377111204239284</v>
      </c>
      <c r="AG94">
        <v>0.15244588644954243</v>
      </c>
      <c r="AH94">
        <v>0.15244588644954243</v>
      </c>
      <c r="AI94">
        <v>0.15244588644954243</v>
      </c>
      <c r="AJ94">
        <v>0.95114636504999994</v>
      </c>
      <c r="AK94">
        <v>0.95114636504999994</v>
      </c>
      <c r="AL94">
        <v>0.95114636504999994</v>
      </c>
      <c r="AP94">
        <v>1.0344109462321477E-2</v>
      </c>
      <c r="AQ94">
        <v>1.0344109462321477E-2</v>
      </c>
      <c r="AR94">
        <v>1.0344109462321477E-2</v>
      </c>
      <c r="AS94">
        <v>2.5327822570156801E-5</v>
      </c>
      <c r="AT94">
        <v>2.5327822570156801E-5</v>
      </c>
      <c r="AU94">
        <v>2.5327822570156801E-5</v>
      </c>
      <c r="BC94" t="s">
        <v>17</v>
      </c>
      <c r="BD94">
        <v>50</v>
      </c>
      <c r="BE94" t="s">
        <v>253</v>
      </c>
    </row>
    <row r="95" spans="1:57" x14ac:dyDescent="0.45">
      <c r="A95" t="s">
        <v>87</v>
      </c>
      <c r="B95" t="s">
        <v>315</v>
      </c>
      <c r="D95" t="s">
        <v>10</v>
      </c>
      <c r="E95" t="s">
        <v>99</v>
      </c>
      <c r="F95" t="s">
        <v>310</v>
      </c>
      <c r="G95" t="s">
        <v>252</v>
      </c>
      <c r="AA95">
        <v>0.13740952131003048</v>
      </c>
      <c r="AB95">
        <v>0.13740952131003048</v>
      </c>
      <c r="AC95">
        <v>0.13740952131003048</v>
      </c>
      <c r="AD95">
        <v>0.16377111204239284</v>
      </c>
      <c r="AE95">
        <v>0.16377111204239284</v>
      </c>
      <c r="AF95">
        <v>0.16377111204239284</v>
      </c>
      <c r="AG95">
        <v>0.15244588644954243</v>
      </c>
      <c r="AH95">
        <v>0.15244588644954243</v>
      </c>
      <c r="AI95">
        <v>0.15244588644954243</v>
      </c>
      <c r="AJ95">
        <v>0.95114636504999994</v>
      </c>
      <c r="AK95">
        <v>0.95114636504999994</v>
      </c>
      <c r="AL95">
        <v>0.95114636504999994</v>
      </c>
      <c r="AP95">
        <v>1.0344109462321477E-2</v>
      </c>
      <c r="AQ95">
        <v>1.0344109462321477E-2</v>
      </c>
      <c r="AR95">
        <v>1.0344109462321477E-2</v>
      </c>
      <c r="AS95">
        <v>2.5327822570156801E-5</v>
      </c>
      <c r="AT95">
        <v>2.5327822570156801E-5</v>
      </c>
      <c r="AU95">
        <v>2.5327822570156801E-5</v>
      </c>
      <c r="BC95" t="s">
        <v>17</v>
      </c>
      <c r="BD95">
        <v>50</v>
      </c>
      <c r="BE95" t="s">
        <v>253</v>
      </c>
    </row>
    <row r="96" spans="1:57" x14ac:dyDescent="0.45">
      <c r="A96" t="s">
        <v>87</v>
      </c>
      <c r="B96" t="s">
        <v>316</v>
      </c>
      <c r="D96" t="s">
        <v>312</v>
      </c>
      <c r="E96" t="s">
        <v>101</v>
      </c>
      <c r="F96" t="s">
        <v>310</v>
      </c>
      <c r="G96" t="s">
        <v>252</v>
      </c>
      <c r="AA96">
        <v>0.13740952131003048</v>
      </c>
      <c r="AB96">
        <v>0.13740952131003048</v>
      </c>
      <c r="AC96">
        <v>0.13740952131003048</v>
      </c>
      <c r="AD96">
        <v>0.16377111204239284</v>
      </c>
      <c r="AE96">
        <v>0.16377111204239284</v>
      </c>
      <c r="AF96">
        <v>0.16377111204239284</v>
      </c>
      <c r="AG96">
        <v>0.15244588644954243</v>
      </c>
      <c r="AH96">
        <v>0.15244588644954243</v>
      </c>
      <c r="AI96">
        <v>0.15244588644954243</v>
      </c>
      <c r="AJ96">
        <v>0.95114636504999994</v>
      </c>
      <c r="AK96">
        <v>0.95114636504999994</v>
      </c>
      <c r="AL96">
        <v>0.95114636504999994</v>
      </c>
      <c r="AP96">
        <v>1.0344109462321477E-2</v>
      </c>
      <c r="AQ96">
        <v>1.0344109462321477E-2</v>
      </c>
      <c r="AR96">
        <v>1.0344109462321477E-2</v>
      </c>
      <c r="AS96">
        <v>2.5327822570156801E-5</v>
      </c>
      <c r="AT96">
        <v>2.5327822570156801E-5</v>
      </c>
      <c r="AU96">
        <v>2.5327822570156801E-5</v>
      </c>
      <c r="BC96" t="s">
        <v>17</v>
      </c>
      <c r="BD96">
        <v>50</v>
      </c>
      <c r="BE96" t="s">
        <v>253</v>
      </c>
    </row>
    <row r="97" spans="1:57" x14ac:dyDescent="0.45">
      <c r="A97" t="s">
        <v>53</v>
      </c>
      <c r="B97" t="s">
        <v>302</v>
      </c>
      <c r="D97" t="s">
        <v>303</v>
      </c>
      <c r="E97" t="s">
        <v>86</v>
      </c>
      <c r="F97" t="s">
        <v>317</v>
      </c>
      <c r="G97" t="s">
        <v>282</v>
      </c>
      <c r="AA97">
        <v>2.4428359344005422E-3</v>
      </c>
      <c r="AB97">
        <v>2.4428359344005422E-3</v>
      </c>
      <c r="AC97">
        <v>2.4428359344005422E-3</v>
      </c>
      <c r="AD97">
        <v>2.9114864363092062E-3</v>
      </c>
      <c r="AE97">
        <v>2.9114864363092062E-3</v>
      </c>
      <c r="AF97">
        <v>2.9114864363092062E-3</v>
      </c>
      <c r="AG97">
        <v>2.7101490924363101E-3</v>
      </c>
      <c r="AH97">
        <v>2.7101490924363101E-3</v>
      </c>
      <c r="AI97">
        <v>2.7101490924363101E-3</v>
      </c>
      <c r="AJ97">
        <v>1.6909268711999999E-2</v>
      </c>
      <c r="AK97">
        <v>1.6909268711999999E-2</v>
      </c>
      <c r="AL97">
        <v>1.6909268711999999E-2</v>
      </c>
      <c r="AP97">
        <v>1.8389527933015962E-4</v>
      </c>
      <c r="AQ97">
        <v>1.8389527933015962E-4</v>
      </c>
      <c r="AR97">
        <v>1.8389527933015962E-4</v>
      </c>
      <c r="AS97">
        <v>4.5027240124723203E-7</v>
      </c>
      <c r="AT97">
        <v>4.5027240124723203E-7</v>
      </c>
      <c r="AU97">
        <v>4.5027240124723203E-7</v>
      </c>
      <c r="BC97" t="s">
        <v>17</v>
      </c>
      <c r="BD97">
        <v>50</v>
      </c>
      <c r="BE97" t="s">
        <v>253</v>
      </c>
    </row>
    <row r="98" spans="1:57" x14ac:dyDescent="0.45">
      <c r="A98" t="s">
        <v>53</v>
      </c>
      <c r="B98" t="s">
        <v>306</v>
      </c>
      <c r="D98" t="s">
        <v>303</v>
      </c>
      <c r="E98" t="s">
        <v>71</v>
      </c>
      <c r="F98" t="s">
        <v>317</v>
      </c>
      <c r="G98" t="s">
        <v>282</v>
      </c>
      <c r="AA98">
        <v>2.4428359344005422E-3</v>
      </c>
      <c r="AB98">
        <v>2.4428359344005422E-3</v>
      </c>
      <c r="AC98">
        <v>2.4428359344005422E-3</v>
      </c>
      <c r="AD98">
        <v>2.9114864363092062E-3</v>
      </c>
      <c r="AE98">
        <v>2.9114864363092062E-3</v>
      </c>
      <c r="AF98">
        <v>2.9114864363092062E-3</v>
      </c>
      <c r="AG98">
        <v>2.7101490924363101E-3</v>
      </c>
      <c r="AH98">
        <v>2.7101490924363101E-3</v>
      </c>
      <c r="AI98">
        <v>2.7101490924363101E-3</v>
      </c>
      <c r="AJ98">
        <v>1.6909268711999999E-2</v>
      </c>
      <c r="AK98">
        <v>1.6909268711999999E-2</v>
      </c>
      <c r="AL98">
        <v>1.6909268711999999E-2</v>
      </c>
      <c r="AP98">
        <v>1.8389527933015962E-4</v>
      </c>
      <c r="AQ98">
        <v>1.8389527933015962E-4</v>
      </c>
      <c r="AR98">
        <v>1.8389527933015962E-4</v>
      </c>
      <c r="AS98">
        <v>4.5027240124723203E-7</v>
      </c>
      <c r="AT98">
        <v>4.5027240124723203E-7</v>
      </c>
      <c r="AU98">
        <v>4.5027240124723203E-7</v>
      </c>
      <c r="BC98" t="s">
        <v>17</v>
      </c>
      <c r="BD98">
        <v>50</v>
      </c>
      <c r="BE98" t="s">
        <v>253</v>
      </c>
    </row>
    <row r="99" spans="1:57" x14ac:dyDescent="0.45">
      <c r="A99" t="s">
        <v>110</v>
      </c>
      <c r="B99" t="s">
        <v>318</v>
      </c>
      <c r="D99" t="s">
        <v>312</v>
      </c>
      <c r="E99" t="s">
        <v>116</v>
      </c>
      <c r="F99" t="s">
        <v>319</v>
      </c>
      <c r="G99" t="s">
        <v>282</v>
      </c>
      <c r="AA99">
        <v>2.4428359344005422E-3</v>
      </c>
      <c r="AB99">
        <v>2.4428359344005422E-3</v>
      </c>
      <c r="AC99">
        <v>2.4428359344005422E-3</v>
      </c>
      <c r="AD99">
        <v>2.9114864363092062E-3</v>
      </c>
      <c r="AE99">
        <v>2.9114864363092062E-3</v>
      </c>
      <c r="AF99">
        <v>2.9114864363092062E-3</v>
      </c>
      <c r="AG99">
        <v>2.7101490924363101E-3</v>
      </c>
      <c r="AH99">
        <v>2.7101490924363101E-3</v>
      </c>
      <c r="AI99">
        <v>2.7101490924363101E-3</v>
      </c>
      <c r="AJ99">
        <v>1.6909268711999999E-2</v>
      </c>
      <c r="AK99">
        <v>1.6909268711999999E-2</v>
      </c>
      <c r="AL99">
        <v>1.6909268711999999E-2</v>
      </c>
      <c r="AP99">
        <v>1.8389527933015962E-4</v>
      </c>
      <c r="AQ99">
        <v>1.8389527933015962E-4</v>
      </c>
      <c r="AR99">
        <v>1.8389527933015962E-4</v>
      </c>
      <c r="AS99">
        <v>4.5027240124723203E-7</v>
      </c>
      <c r="AT99">
        <v>4.5027240124723203E-7</v>
      </c>
      <c r="AU99">
        <v>4.5027240124723203E-7</v>
      </c>
      <c r="BC99" t="s">
        <v>17</v>
      </c>
      <c r="BD99">
        <v>50</v>
      </c>
      <c r="BE99" t="s">
        <v>253</v>
      </c>
    </row>
    <row r="100" spans="1:57" x14ac:dyDescent="0.45">
      <c r="A100" t="s">
        <v>53</v>
      </c>
      <c r="B100" t="s">
        <v>302</v>
      </c>
      <c r="D100" t="s">
        <v>303</v>
      </c>
      <c r="E100" t="s">
        <v>86</v>
      </c>
      <c r="F100" t="s">
        <v>320</v>
      </c>
      <c r="G100" t="s">
        <v>270</v>
      </c>
      <c r="AA100">
        <v>3.3501749957493145E-2</v>
      </c>
      <c r="AB100">
        <v>2.2334499971662099E-2</v>
      </c>
      <c r="AC100">
        <v>5.583624992915525E-2</v>
      </c>
      <c r="AD100">
        <v>3.992895684081197E-2</v>
      </c>
      <c r="AE100">
        <v>2.6619304560541315E-2</v>
      </c>
      <c r="AF100">
        <v>6.6548261401353281E-2</v>
      </c>
      <c r="AG100">
        <v>3.7167758981983677E-2</v>
      </c>
      <c r="AH100">
        <v>2.477850598798912E-2</v>
      </c>
      <c r="AI100">
        <v>6.1946264969972797E-2</v>
      </c>
      <c r="AJ100">
        <v>0.23189854233599996</v>
      </c>
      <c r="AK100">
        <v>0.15459902822399998</v>
      </c>
      <c r="AL100">
        <v>0.38649757056</v>
      </c>
      <c r="AP100">
        <v>2.5219924022421886E-3</v>
      </c>
      <c r="AQ100">
        <v>1.6813282681614591E-3</v>
      </c>
      <c r="AR100">
        <v>4.2033206704036484E-3</v>
      </c>
      <c r="AS100">
        <v>6.1751643599620386E-6</v>
      </c>
      <c r="AT100">
        <v>4.1167762399746935E-6</v>
      </c>
      <c r="AU100">
        <v>1.0291940599936733E-5</v>
      </c>
      <c r="BC100" t="s">
        <v>17</v>
      </c>
      <c r="BD100">
        <v>50</v>
      </c>
      <c r="BE100" t="s">
        <v>253</v>
      </c>
    </row>
    <row r="101" spans="1:57" x14ac:dyDescent="0.45">
      <c r="A101" t="s">
        <v>53</v>
      </c>
      <c r="B101" t="s">
        <v>306</v>
      </c>
      <c r="D101" t="s">
        <v>303</v>
      </c>
      <c r="E101" t="s">
        <v>71</v>
      </c>
      <c r="F101" t="s">
        <v>320</v>
      </c>
      <c r="G101" t="s">
        <v>270</v>
      </c>
      <c r="AA101">
        <v>3.3501749957493145E-2</v>
      </c>
      <c r="AB101">
        <v>2.2334499971662099E-2</v>
      </c>
      <c r="AC101">
        <v>5.583624992915525E-2</v>
      </c>
      <c r="AD101">
        <v>3.992895684081197E-2</v>
      </c>
      <c r="AE101">
        <v>2.6619304560541315E-2</v>
      </c>
      <c r="AF101">
        <v>6.6548261401353281E-2</v>
      </c>
      <c r="AG101">
        <v>3.7167758981983677E-2</v>
      </c>
      <c r="AH101">
        <v>2.477850598798912E-2</v>
      </c>
      <c r="AI101">
        <v>6.1946264969972797E-2</v>
      </c>
      <c r="AJ101">
        <v>0.23189854233599996</v>
      </c>
      <c r="AK101">
        <v>0.15459902822399998</v>
      </c>
      <c r="AL101">
        <v>0.38649757056</v>
      </c>
      <c r="AP101">
        <v>2.5219924022421886E-3</v>
      </c>
      <c r="AQ101">
        <v>1.6813282681614591E-3</v>
      </c>
      <c r="AR101">
        <v>4.2033206704036484E-3</v>
      </c>
      <c r="AS101">
        <v>6.1751643599620386E-6</v>
      </c>
      <c r="AT101">
        <v>4.1167762399746935E-6</v>
      </c>
      <c r="AU101">
        <v>1.0291940599936733E-5</v>
      </c>
      <c r="BC101" t="s">
        <v>17</v>
      </c>
      <c r="BD101">
        <v>50</v>
      </c>
      <c r="BE101" t="s">
        <v>253</v>
      </c>
    </row>
    <row r="102" spans="1:57" x14ac:dyDescent="0.45">
      <c r="A102" t="s">
        <v>110</v>
      </c>
      <c r="B102" t="s">
        <v>318</v>
      </c>
      <c r="D102" t="s">
        <v>312</v>
      </c>
      <c r="E102" t="s">
        <v>116</v>
      </c>
      <c r="F102" t="s">
        <v>255</v>
      </c>
      <c r="G102" t="s">
        <v>255</v>
      </c>
      <c r="AA102">
        <v>3.1407890585149825E-3</v>
      </c>
      <c r="AB102">
        <v>3.1407890585149825E-3</v>
      </c>
      <c r="AC102">
        <v>3.1407890585149825E-3</v>
      </c>
      <c r="AD102">
        <v>3.743339703826122E-3</v>
      </c>
      <c r="AE102">
        <v>3.743339703826122E-3</v>
      </c>
      <c r="AF102">
        <v>3.743339703826122E-3</v>
      </c>
      <c r="AG102">
        <v>3.4844774045609699E-3</v>
      </c>
      <c r="AH102">
        <v>3.4844774045609699E-3</v>
      </c>
      <c r="AI102">
        <v>3.4844774045609699E-3</v>
      </c>
      <c r="AJ102">
        <v>2.1740488343999997E-2</v>
      </c>
      <c r="AK102">
        <v>2.1740488343999997E-2</v>
      </c>
      <c r="AL102">
        <v>2.1740488343999997E-2</v>
      </c>
      <c r="AP102">
        <v>2.3643678771020519E-4</v>
      </c>
      <c r="AQ102">
        <v>2.3643678771020519E-4</v>
      </c>
      <c r="AR102">
        <v>2.3643678771020519E-4</v>
      </c>
      <c r="AS102">
        <v>5.789216587464412E-7</v>
      </c>
      <c r="AT102">
        <v>5.789216587464412E-7</v>
      </c>
      <c r="AU102">
        <v>5.789216587464412E-7</v>
      </c>
      <c r="BC102" t="s">
        <v>17</v>
      </c>
      <c r="BD102">
        <v>50</v>
      </c>
      <c r="BE102" t="s">
        <v>253</v>
      </c>
    </row>
    <row r="103" spans="1:57" x14ac:dyDescent="0.45">
      <c r="A103" t="s">
        <v>53</v>
      </c>
      <c r="B103" t="s">
        <v>302</v>
      </c>
      <c r="D103" t="s">
        <v>303</v>
      </c>
      <c r="E103" t="s">
        <v>86</v>
      </c>
      <c r="F103" t="s">
        <v>321</v>
      </c>
      <c r="G103" t="s">
        <v>256</v>
      </c>
      <c r="AA103">
        <v>3.1407890585149825</v>
      </c>
      <c r="AB103">
        <v>3.1407890585149825</v>
      </c>
      <c r="AC103">
        <v>3.1407890585149825</v>
      </c>
      <c r="AD103">
        <v>3.743339703826122</v>
      </c>
      <c r="AE103">
        <v>3.743339703826122</v>
      </c>
      <c r="AF103">
        <v>3.743339703826122</v>
      </c>
      <c r="AG103">
        <v>3.4844774045609697</v>
      </c>
      <c r="AH103">
        <v>3.4844774045609697</v>
      </c>
      <c r="AI103">
        <v>3.4844774045609697</v>
      </c>
      <c r="AJ103">
        <v>21.740488343999999</v>
      </c>
      <c r="AK103">
        <v>21.740488343999999</v>
      </c>
      <c r="AL103">
        <v>21.740488343999999</v>
      </c>
      <c r="AP103">
        <v>0.23643678771020518</v>
      </c>
      <c r="AQ103">
        <v>0.23643678771020518</v>
      </c>
      <c r="AR103">
        <v>0.23643678771020518</v>
      </c>
      <c r="AS103">
        <v>5.7892165874644111E-4</v>
      </c>
      <c r="AT103">
        <v>5.7892165874644111E-4</v>
      </c>
      <c r="AU103">
        <v>5.7892165874644111E-4</v>
      </c>
      <c r="BC103" t="s">
        <v>17</v>
      </c>
      <c r="BD103">
        <v>50</v>
      </c>
      <c r="BE103" t="s">
        <v>253</v>
      </c>
    </row>
    <row r="104" spans="1:57" x14ac:dyDescent="0.45">
      <c r="A104" t="s">
        <v>53</v>
      </c>
      <c r="B104" t="s">
        <v>306</v>
      </c>
      <c r="D104" t="s">
        <v>303</v>
      </c>
      <c r="E104" t="s">
        <v>71</v>
      </c>
      <c r="F104" t="s">
        <v>321</v>
      </c>
      <c r="G104" t="s">
        <v>256</v>
      </c>
      <c r="AA104">
        <v>3.1407890585149825</v>
      </c>
      <c r="AB104">
        <v>3.1407890585149825</v>
      </c>
      <c r="AC104">
        <v>3.1407890585149825</v>
      </c>
      <c r="AD104">
        <v>3.743339703826122</v>
      </c>
      <c r="AE104">
        <v>3.743339703826122</v>
      </c>
      <c r="AF104">
        <v>3.743339703826122</v>
      </c>
      <c r="AG104">
        <v>3.4844774045609697</v>
      </c>
      <c r="AH104">
        <v>3.4844774045609697</v>
      </c>
      <c r="AI104">
        <v>3.4844774045609697</v>
      </c>
      <c r="AJ104">
        <v>21.740488343999999</v>
      </c>
      <c r="AK104">
        <v>21.740488343999999</v>
      </c>
      <c r="AL104">
        <v>21.740488343999999</v>
      </c>
      <c r="AP104">
        <v>0.23643678771020518</v>
      </c>
      <c r="AQ104">
        <v>0.23643678771020518</v>
      </c>
      <c r="AR104">
        <v>0.23643678771020518</v>
      </c>
      <c r="AS104">
        <v>5.7892165874644111E-4</v>
      </c>
      <c r="AT104">
        <v>5.7892165874644111E-4</v>
      </c>
      <c r="AU104">
        <v>5.7892165874644111E-4</v>
      </c>
      <c r="BC104" t="s">
        <v>17</v>
      </c>
      <c r="BD104">
        <v>50</v>
      </c>
      <c r="BE104" t="s">
        <v>253</v>
      </c>
    </row>
    <row r="105" spans="1:57" x14ac:dyDescent="0.45">
      <c r="A105" t="s">
        <v>110</v>
      </c>
      <c r="B105" t="s">
        <v>318</v>
      </c>
      <c r="D105" t="s">
        <v>312</v>
      </c>
      <c r="E105" t="s">
        <v>116</v>
      </c>
      <c r="F105" t="s">
        <v>321</v>
      </c>
      <c r="G105" t="s">
        <v>256</v>
      </c>
      <c r="AA105">
        <v>1.2563156234059931</v>
      </c>
      <c r="AB105">
        <v>1.2563156234059931</v>
      </c>
      <c r="AC105">
        <v>1.2563156234059931</v>
      </c>
      <c r="AD105">
        <v>1.4973358815304487</v>
      </c>
      <c r="AE105">
        <v>1.4973358815304487</v>
      </c>
      <c r="AF105">
        <v>1.4973358815304487</v>
      </c>
      <c r="AG105">
        <v>1.393790961824388</v>
      </c>
      <c r="AH105">
        <v>1.393790961824388</v>
      </c>
      <c r="AI105">
        <v>1.393790961824388</v>
      </c>
      <c r="AJ105">
        <v>8.696195337599999</v>
      </c>
      <c r="AK105">
        <v>8.696195337599999</v>
      </c>
      <c r="AL105">
        <v>8.696195337599999</v>
      </c>
      <c r="AP105">
        <v>9.4574715084082078E-2</v>
      </c>
      <c r="AQ105">
        <v>9.4574715084082078E-2</v>
      </c>
      <c r="AR105">
        <v>9.4574715084082078E-2</v>
      </c>
      <c r="AS105">
        <v>2.3156866349857645E-4</v>
      </c>
      <c r="AT105">
        <v>2.3156866349857645E-4</v>
      </c>
      <c r="AU105">
        <v>2.3156866349857645E-4</v>
      </c>
      <c r="BC105" t="s">
        <v>17</v>
      </c>
      <c r="BD105">
        <v>50</v>
      </c>
      <c r="BE105" t="s">
        <v>253</v>
      </c>
    </row>
    <row r="106" spans="1:57" x14ac:dyDescent="0.45">
      <c r="A106" t="s">
        <v>53</v>
      </c>
      <c r="B106" t="s">
        <v>302</v>
      </c>
      <c r="D106" t="s">
        <v>303</v>
      </c>
      <c r="E106" t="s">
        <v>86</v>
      </c>
      <c r="F106" t="s">
        <v>322</v>
      </c>
      <c r="G106" t="s">
        <v>229</v>
      </c>
      <c r="AA106">
        <v>0.15808638261192079</v>
      </c>
      <c r="AB106">
        <v>0.15808638261192079</v>
      </c>
      <c r="AC106">
        <v>0.15808638261192079</v>
      </c>
      <c r="AD106">
        <v>0.18841476509258148</v>
      </c>
      <c r="AE106">
        <v>0.18841476509258148</v>
      </c>
      <c r="AF106">
        <v>0.18841476509258148</v>
      </c>
      <c r="AG106">
        <v>0.1753853626962355</v>
      </c>
      <c r="AH106">
        <v>0.1753853626962355</v>
      </c>
      <c r="AI106">
        <v>0.1753853626962355</v>
      </c>
      <c r="AJ106">
        <v>1.094271246648</v>
      </c>
      <c r="AK106">
        <v>1.094271246648</v>
      </c>
      <c r="AL106">
        <v>1.094271246648</v>
      </c>
      <c r="AP106">
        <v>1.1900651648080329E-2</v>
      </c>
      <c r="AQ106">
        <v>1.1900651648080329E-2</v>
      </c>
      <c r="AR106">
        <v>1.1900651648080329E-2</v>
      </c>
      <c r="AS106">
        <v>2.9139056823570876E-5</v>
      </c>
      <c r="AT106">
        <v>2.9139056823570876E-5</v>
      </c>
      <c r="AU106">
        <v>2.9139056823570876E-5</v>
      </c>
      <c r="BC106" t="s">
        <v>17</v>
      </c>
      <c r="BD106">
        <v>50</v>
      </c>
      <c r="BE106" t="s">
        <v>253</v>
      </c>
    </row>
    <row r="107" spans="1:57" x14ac:dyDescent="0.45">
      <c r="A107" t="s">
        <v>53</v>
      </c>
      <c r="B107" t="s">
        <v>306</v>
      </c>
      <c r="D107" t="s">
        <v>303</v>
      </c>
      <c r="E107" t="s">
        <v>71</v>
      </c>
      <c r="F107" t="s">
        <v>322</v>
      </c>
      <c r="G107" t="s">
        <v>229</v>
      </c>
      <c r="AA107">
        <v>0.15808638261192079</v>
      </c>
      <c r="AB107">
        <v>0.15808638261192079</v>
      </c>
      <c r="AC107">
        <v>0.15808638261192079</v>
      </c>
      <c r="AD107">
        <v>0.18841476509258148</v>
      </c>
      <c r="AE107">
        <v>0.18841476509258148</v>
      </c>
      <c r="AF107">
        <v>0.18841476509258148</v>
      </c>
      <c r="AG107">
        <v>0.1753853626962355</v>
      </c>
      <c r="AH107">
        <v>0.1753853626962355</v>
      </c>
      <c r="AI107">
        <v>0.1753853626962355</v>
      </c>
      <c r="AJ107">
        <v>1.094271246648</v>
      </c>
      <c r="AK107">
        <v>1.094271246648</v>
      </c>
      <c r="AL107">
        <v>1.094271246648</v>
      </c>
      <c r="AP107">
        <v>1.1900651648080329E-2</v>
      </c>
      <c r="AQ107">
        <v>1.1900651648080329E-2</v>
      </c>
      <c r="AR107">
        <v>1.1900651648080329E-2</v>
      </c>
      <c r="AS107">
        <v>2.9139056823570876E-5</v>
      </c>
      <c r="AT107">
        <v>2.9139056823570876E-5</v>
      </c>
      <c r="AU107">
        <v>2.9139056823570876E-5</v>
      </c>
      <c r="BC107" t="s">
        <v>17</v>
      </c>
      <c r="BD107">
        <v>50</v>
      </c>
      <c r="BE107" t="s">
        <v>253</v>
      </c>
    </row>
    <row r="108" spans="1:57" x14ac:dyDescent="0.45">
      <c r="A108" t="s">
        <v>53</v>
      </c>
      <c r="B108" t="s">
        <v>302</v>
      </c>
      <c r="D108" t="s">
        <v>303</v>
      </c>
      <c r="E108" t="s">
        <v>86</v>
      </c>
      <c r="F108" t="s">
        <v>323</v>
      </c>
      <c r="G108" t="s">
        <v>279</v>
      </c>
      <c r="AA108">
        <v>4.7111835877724745E-2</v>
      </c>
      <c r="AB108">
        <v>4.7111835877724745E-2</v>
      </c>
      <c r="AC108">
        <v>4.7111835877724745E-2</v>
      </c>
      <c r="AD108">
        <v>5.6150095557391838E-2</v>
      </c>
      <c r="AE108">
        <v>5.6150095557391838E-2</v>
      </c>
      <c r="AF108">
        <v>5.6150095557391838E-2</v>
      </c>
      <c r="AG108">
        <v>5.2267161068414551E-2</v>
      </c>
      <c r="AH108">
        <v>5.2267161068414551E-2</v>
      </c>
      <c r="AI108">
        <v>5.2267161068414551E-2</v>
      </c>
      <c r="AJ108">
        <v>0.32610732515999996</v>
      </c>
      <c r="AK108">
        <v>0.32610732515999996</v>
      </c>
      <c r="AL108">
        <v>0.32610732515999996</v>
      </c>
      <c r="AP108">
        <v>3.5465518156530783E-3</v>
      </c>
      <c r="AQ108">
        <v>3.5465518156530783E-3</v>
      </c>
      <c r="AR108">
        <v>3.5465518156530783E-3</v>
      </c>
      <c r="AS108">
        <v>8.6838248811966189E-6</v>
      </c>
      <c r="AT108">
        <v>8.6838248811966189E-6</v>
      </c>
      <c r="AU108">
        <v>8.6838248811966189E-6</v>
      </c>
      <c r="BC108" t="s">
        <v>17</v>
      </c>
      <c r="BD108">
        <v>50</v>
      </c>
      <c r="BE108" t="s">
        <v>253</v>
      </c>
    </row>
    <row r="109" spans="1:57" x14ac:dyDescent="0.45">
      <c r="A109" t="s">
        <v>53</v>
      </c>
      <c r="B109" t="s">
        <v>306</v>
      </c>
      <c r="D109" t="s">
        <v>303</v>
      </c>
      <c r="E109" t="s">
        <v>71</v>
      </c>
      <c r="F109" t="s">
        <v>323</v>
      </c>
      <c r="G109" t="s">
        <v>279</v>
      </c>
      <c r="AA109">
        <v>4.7111835877724745E-2</v>
      </c>
      <c r="AB109">
        <v>4.7111835877724745E-2</v>
      </c>
      <c r="AC109">
        <v>4.7111835877724745E-2</v>
      </c>
      <c r="AD109">
        <v>5.6150095557391838E-2</v>
      </c>
      <c r="AE109">
        <v>5.6150095557391838E-2</v>
      </c>
      <c r="AF109">
        <v>5.6150095557391838E-2</v>
      </c>
      <c r="AG109">
        <v>5.2267161068414551E-2</v>
      </c>
      <c r="AH109">
        <v>5.2267161068414551E-2</v>
      </c>
      <c r="AI109">
        <v>5.2267161068414551E-2</v>
      </c>
      <c r="AJ109">
        <v>0.32610732515999996</v>
      </c>
      <c r="AK109">
        <v>0.32610732515999996</v>
      </c>
      <c r="AL109">
        <v>0.32610732515999996</v>
      </c>
      <c r="AP109">
        <v>3.5465518156530783E-3</v>
      </c>
      <c r="AQ109">
        <v>3.5465518156530783E-3</v>
      </c>
      <c r="AR109">
        <v>3.5465518156530783E-3</v>
      </c>
      <c r="AS109">
        <v>8.6838248811966189E-6</v>
      </c>
      <c r="AT109">
        <v>8.6838248811966189E-6</v>
      </c>
      <c r="AU109">
        <v>8.6838248811966189E-6</v>
      </c>
      <c r="BC109" t="s">
        <v>17</v>
      </c>
      <c r="BD109">
        <v>50</v>
      </c>
      <c r="BE109" t="s">
        <v>253</v>
      </c>
    </row>
    <row r="110" spans="1:57" x14ac:dyDescent="0.45">
      <c r="A110" t="s">
        <v>87</v>
      </c>
      <c r="B110" t="s">
        <v>308</v>
      </c>
      <c r="D110" t="s">
        <v>313</v>
      </c>
      <c r="E110" t="s">
        <v>93</v>
      </c>
      <c r="F110" t="s">
        <v>324</v>
      </c>
      <c r="G110" t="s">
        <v>240</v>
      </c>
      <c r="AA110">
        <v>8.7244140514305069E-2</v>
      </c>
      <c r="AB110">
        <v>8.7244140514305069E-2</v>
      </c>
      <c r="AC110">
        <v>8.7244140514305069E-2</v>
      </c>
      <c r="AD110">
        <v>0.1039816584396145</v>
      </c>
      <c r="AE110">
        <v>0.1039816584396145</v>
      </c>
      <c r="AF110">
        <v>0.1039816584396145</v>
      </c>
      <c r="AG110">
        <v>9.6791039015582503E-2</v>
      </c>
      <c r="AH110">
        <v>9.6791039015582503E-2</v>
      </c>
      <c r="AI110">
        <v>9.6791039015582503E-2</v>
      </c>
      <c r="AJ110">
        <v>0.60390245399999998</v>
      </c>
      <c r="AK110">
        <v>0.60390245399999998</v>
      </c>
      <c r="AL110">
        <v>0.60390245399999998</v>
      </c>
      <c r="AP110">
        <v>6.5676885475057E-3</v>
      </c>
      <c r="AQ110">
        <v>6.5676885475057E-3</v>
      </c>
      <c r="AR110">
        <v>6.5676885475057E-3</v>
      </c>
      <c r="AS110">
        <v>1.6081157187401144E-5</v>
      </c>
      <c r="AT110">
        <v>1.6081157187401144E-5</v>
      </c>
      <c r="AU110">
        <v>1.6081157187401144E-5</v>
      </c>
      <c r="BC110" t="s">
        <v>17</v>
      </c>
      <c r="BD110">
        <v>50</v>
      </c>
      <c r="BE110" t="s">
        <v>253</v>
      </c>
    </row>
    <row r="111" spans="1:57" x14ac:dyDescent="0.45">
      <c r="A111" t="s">
        <v>87</v>
      </c>
      <c r="B111" t="s">
        <v>308</v>
      </c>
      <c r="D111" t="s">
        <v>314</v>
      </c>
      <c r="E111" t="s">
        <v>96</v>
      </c>
      <c r="F111" t="s">
        <v>324</v>
      </c>
      <c r="G111" t="s">
        <v>240</v>
      </c>
      <c r="AA111">
        <v>8.7244140514305069E-2</v>
      </c>
      <c r="AB111">
        <v>8.7244140514305069E-2</v>
      </c>
      <c r="AC111">
        <v>8.7244140514305069E-2</v>
      </c>
      <c r="AD111">
        <v>0.1039816584396145</v>
      </c>
      <c r="AE111">
        <v>0.1039816584396145</v>
      </c>
      <c r="AF111">
        <v>0.1039816584396145</v>
      </c>
      <c r="AG111">
        <v>9.6791039015582503E-2</v>
      </c>
      <c r="AH111">
        <v>9.6791039015582503E-2</v>
      </c>
      <c r="AI111">
        <v>9.6791039015582503E-2</v>
      </c>
      <c r="AJ111">
        <v>0.60390245399999998</v>
      </c>
      <c r="AK111">
        <v>0.60390245399999998</v>
      </c>
      <c r="AL111">
        <v>0.60390245399999998</v>
      </c>
      <c r="AP111">
        <v>6.5676885475057E-3</v>
      </c>
      <c r="AQ111">
        <v>6.5676885475057E-3</v>
      </c>
      <c r="AR111">
        <v>6.5676885475057E-3</v>
      </c>
      <c r="AS111">
        <v>1.6081157187401144E-5</v>
      </c>
      <c r="AT111">
        <v>1.6081157187401144E-5</v>
      </c>
      <c r="AU111">
        <v>1.6081157187401144E-5</v>
      </c>
      <c r="BC111" t="s">
        <v>17</v>
      </c>
      <c r="BD111">
        <v>50</v>
      </c>
      <c r="BE111" t="s">
        <v>253</v>
      </c>
    </row>
    <row r="112" spans="1:57" x14ac:dyDescent="0.45">
      <c r="A112" t="s">
        <v>87</v>
      </c>
      <c r="B112" t="s">
        <v>325</v>
      </c>
      <c r="D112" t="s">
        <v>312</v>
      </c>
      <c r="E112" t="s">
        <v>102</v>
      </c>
      <c r="F112" t="s">
        <v>324</v>
      </c>
      <c r="G112" t="s">
        <v>240</v>
      </c>
      <c r="AA112">
        <v>8.7244140514305069E-2</v>
      </c>
      <c r="AB112">
        <v>8.7244140514305069E-2</v>
      </c>
      <c r="AC112">
        <v>8.7244140514305069E-2</v>
      </c>
      <c r="AD112">
        <v>0.1039816584396145</v>
      </c>
      <c r="AE112">
        <v>0.1039816584396145</v>
      </c>
      <c r="AF112">
        <v>0.1039816584396145</v>
      </c>
      <c r="AG112">
        <v>9.6791039015582503E-2</v>
      </c>
      <c r="AH112">
        <v>9.6791039015582503E-2</v>
      </c>
      <c r="AI112">
        <v>9.6791039015582503E-2</v>
      </c>
      <c r="AJ112">
        <v>0.60390245399999998</v>
      </c>
      <c r="AK112">
        <v>0.60390245399999998</v>
      </c>
      <c r="AL112">
        <v>0.60390245399999998</v>
      </c>
      <c r="AP112">
        <v>6.5676885475057E-3</v>
      </c>
      <c r="AQ112">
        <v>6.5676885475057E-3</v>
      </c>
      <c r="AR112">
        <v>6.5676885475057E-3</v>
      </c>
      <c r="AS112">
        <v>1.6081157187401144E-5</v>
      </c>
      <c r="AT112">
        <v>1.6081157187401144E-5</v>
      </c>
      <c r="AU112">
        <v>1.6081157187401144E-5</v>
      </c>
      <c r="BC112" t="s">
        <v>17</v>
      </c>
      <c r="BD112">
        <v>50</v>
      </c>
      <c r="BE112" t="s">
        <v>253</v>
      </c>
    </row>
    <row r="113" spans="1:57" x14ac:dyDescent="0.45">
      <c r="A113" t="s">
        <v>87</v>
      </c>
      <c r="B113" t="s">
        <v>325</v>
      </c>
      <c r="D113" t="s">
        <v>275</v>
      </c>
      <c r="E113" t="s">
        <v>103</v>
      </c>
      <c r="F113" t="s">
        <v>324</v>
      </c>
      <c r="G113" t="s">
        <v>240</v>
      </c>
      <c r="AA113">
        <v>8.7244140514305069E-2</v>
      </c>
      <c r="AB113">
        <v>8.7244140514305069E-2</v>
      </c>
      <c r="AC113">
        <v>8.7244140514305069E-2</v>
      </c>
      <c r="AD113">
        <v>0.1039816584396145</v>
      </c>
      <c r="AE113">
        <v>0.1039816584396145</v>
      </c>
      <c r="AF113">
        <v>0.1039816584396145</v>
      </c>
      <c r="AG113">
        <v>9.6791039015582503E-2</v>
      </c>
      <c r="AH113">
        <v>9.6791039015582503E-2</v>
      </c>
      <c r="AI113">
        <v>9.6791039015582503E-2</v>
      </c>
      <c r="AJ113">
        <v>0.60390245399999998</v>
      </c>
      <c r="AK113">
        <v>0.60390245399999998</v>
      </c>
      <c r="AL113">
        <v>0.60390245399999998</v>
      </c>
      <c r="AP113">
        <v>6.5676885475057E-3</v>
      </c>
      <c r="AQ113">
        <v>6.5676885475057E-3</v>
      </c>
      <c r="AR113">
        <v>6.5676885475057E-3</v>
      </c>
      <c r="AS113">
        <v>1.6081157187401144E-5</v>
      </c>
      <c r="AT113">
        <v>1.6081157187401144E-5</v>
      </c>
      <c r="AU113">
        <v>1.6081157187401144E-5</v>
      </c>
      <c r="BC113" t="s">
        <v>17</v>
      </c>
      <c r="BD113">
        <v>50</v>
      </c>
      <c r="BE113" t="s">
        <v>253</v>
      </c>
    </row>
    <row r="114" spans="1:57" x14ac:dyDescent="0.45">
      <c r="A114" t="s">
        <v>110</v>
      </c>
      <c r="B114" t="s">
        <v>318</v>
      </c>
      <c r="D114" t="s">
        <v>312</v>
      </c>
      <c r="E114" t="s">
        <v>116</v>
      </c>
      <c r="F114" t="s">
        <v>324</v>
      </c>
      <c r="G114" t="s">
        <v>240</v>
      </c>
      <c r="AA114">
        <v>8.7244140514305069E-2</v>
      </c>
      <c r="AB114">
        <v>8.7244140514305069E-2</v>
      </c>
      <c r="AC114">
        <v>8.7244140514305069E-2</v>
      </c>
      <c r="AD114">
        <v>0.1039816584396145</v>
      </c>
      <c r="AE114">
        <v>0.1039816584396145</v>
      </c>
      <c r="AF114">
        <v>0.1039816584396145</v>
      </c>
      <c r="AG114">
        <v>9.6791039015582503E-2</v>
      </c>
      <c r="AH114">
        <v>9.6791039015582503E-2</v>
      </c>
      <c r="AI114">
        <v>9.6791039015582503E-2</v>
      </c>
      <c r="AJ114">
        <v>0.60390245399999998</v>
      </c>
      <c r="AK114">
        <v>0.60390245399999998</v>
      </c>
      <c r="AL114">
        <v>0.60390245399999998</v>
      </c>
      <c r="AP114">
        <v>6.5676885475057E-3</v>
      </c>
      <c r="AQ114">
        <v>6.5676885475057E-3</v>
      </c>
      <c r="AR114">
        <v>6.5676885475057E-3</v>
      </c>
      <c r="AS114">
        <v>1.6081157187401144E-5</v>
      </c>
      <c r="AT114">
        <v>1.6081157187401144E-5</v>
      </c>
      <c r="AU114">
        <v>1.6081157187401144E-5</v>
      </c>
      <c r="BC114" t="s">
        <v>17</v>
      </c>
      <c r="BD114">
        <v>50</v>
      </c>
      <c r="BE114" t="s">
        <v>253</v>
      </c>
    </row>
    <row r="115" spans="1:57" x14ac:dyDescent="0.45">
      <c r="A115" t="s">
        <v>110</v>
      </c>
      <c r="B115" t="s">
        <v>326</v>
      </c>
      <c r="D115" t="s">
        <v>303</v>
      </c>
      <c r="E115" t="s">
        <v>115</v>
      </c>
      <c r="F115" t="s">
        <v>327</v>
      </c>
      <c r="G115" t="s">
        <v>261</v>
      </c>
      <c r="AA115">
        <v>8.7244140514305069E-2</v>
      </c>
      <c r="AB115">
        <v>8.7244140514305069E-2</v>
      </c>
      <c r="AC115">
        <v>8.7244140514305069E-2</v>
      </c>
      <c r="AD115">
        <v>0.1039816584396145</v>
      </c>
      <c r="AE115">
        <v>0.1039816584396145</v>
      </c>
      <c r="AF115">
        <v>0.1039816584396145</v>
      </c>
      <c r="AG115">
        <v>9.6791039015582503E-2</v>
      </c>
      <c r="AH115">
        <v>9.6791039015582503E-2</v>
      </c>
      <c r="AI115">
        <v>9.6791039015582503E-2</v>
      </c>
      <c r="AJ115">
        <v>0.60390245399999998</v>
      </c>
      <c r="AK115">
        <v>0.60390245399999998</v>
      </c>
      <c r="AL115">
        <v>0.60390245399999998</v>
      </c>
      <c r="AP115">
        <v>6.5676885475057E-3</v>
      </c>
      <c r="AQ115">
        <v>6.5676885475057E-3</v>
      </c>
      <c r="AR115">
        <v>6.5676885475057E-3</v>
      </c>
      <c r="AS115">
        <v>1.6081157187401144E-5</v>
      </c>
      <c r="AT115">
        <v>1.6081157187401144E-5</v>
      </c>
      <c r="AU115">
        <v>1.6081157187401144E-5</v>
      </c>
      <c r="BC115" t="s">
        <v>17</v>
      </c>
      <c r="BD115">
        <v>50</v>
      </c>
      <c r="BE115" t="s">
        <v>253</v>
      </c>
    </row>
    <row r="116" spans="1:57" x14ac:dyDescent="0.45">
      <c r="A116" t="s">
        <v>87</v>
      </c>
      <c r="B116" t="s">
        <v>308</v>
      </c>
      <c r="D116" t="s">
        <v>309</v>
      </c>
      <c r="E116" t="s">
        <v>90</v>
      </c>
      <c r="F116" t="s">
        <v>264</v>
      </c>
      <c r="G116" t="s">
        <v>264</v>
      </c>
      <c r="AA116">
        <v>3.0535449180006777</v>
      </c>
      <c r="AB116">
        <v>3.0535449180006777</v>
      </c>
      <c r="AC116">
        <v>3.0535449180006777</v>
      </c>
      <c r="AD116">
        <v>3.6393580453865075</v>
      </c>
      <c r="AE116">
        <v>3.6393580453865075</v>
      </c>
      <c r="AF116">
        <v>3.6393580453865075</v>
      </c>
      <c r="AG116">
        <v>3.3876863655453873</v>
      </c>
      <c r="AH116">
        <v>3.3876863655453873</v>
      </c>
      <c r="AI116">
        <v>3.3876863655453873</v>
      </c>
      <c r="AJ116">
        <v>21.136585889999999</v>
      </c>
      <c r="AK116">
        <v>21.136585889999999</v>
      </c>
      <c r="AL116">
        <v>21.136585889999999</v>
      </c>
      <c r="AP116">
        <v>0.22986909916269949</v>
      </c>
      <c r="AQ116">
        <v>0.22986909916269949</v>
      </c>
      <c r="AR116">
        <v>0.22986909916269949</v>
      </c>
      <c r="AS116">
        <v>5.6284050155903996E-4</v>
      </c>
      <c r="AT116">
        <v>5.6284050155903996E-4</v>
      </c>
      <c r="AU116">
        <v>5.6284050155903996E-4</v>
      </c>
      <c r="BC116" t="s">
        <v>17</v>
      </c>
      <c r="BD116">
        <v>50</v>
      </c>
      <c r="BE116" t="s">
        <v>253</v>
      </c>
    </row>
    <row r="117" spans="1:57" x14ac:dyDescent="0.45">
      <c r="A117" t="s">
        <v>87</v>
      </c>
      <c r="B117" t="s">
        <v>308</v>
      </c>
      <c r="D117" t="s">
        <v>313</v>
      </c>
      <c r="E117" t="s">
        <v>93</v>
      </c>
      <c r="F117" t="s">
        <v>264</v>
      </c>
      <c r="G117" t="s">
        <v>264</v>
      </c>
      <c r="AA117">
        <v>2.0938593723433216</v>
      </c>
      <c r="AB117">
        <v>2.0938593723433216</v>
      </c>
      <c r="AC117">
        <v>2.0938593723433216</v>
      </c>
      <c r="AD117">
        <v>2.4955598025507482</v>
      </c>
      <c r="AE117">
        <v>2.4955598025507482</v>
      </c>
      <c r="AF117">
        <v>2.4955598025507482</v>
      </c>
      <c r="AG117">
        <v>2.3229849363739801</v>
      </c>
      <c r="AH117">
        <v>2.3229849363739801</v>
      </c>
      <c r="AI117">
        <v>2.3229849363739801</v>
      </c>
      <c r="AJ117">
        <v>14.493658895999998</v>
      </c>
      <c r="AK117">
        <v>14.493658895999998</v>
      </c>
      <c r="AL117">
        <v>14.493658895999998</v>
      </c>
      <c r="AP117">
        <v>0.15762452514013681</v>
      </c>
      <c r="AQ117">
        <v>0.15762452514013681</v>
      </c>
      <c r="AR117">
        <v>0.15762452514013681</v>
      </c>
      <c r="AS117">
        <v>3.8594777249762748E-4</v>
      </c>
      <c r="AT117">
        <v>3.8594777249762748E-4</v>
      </c>
      <c r="AU117">
        <v>3.8594777249762748E-4</v>
      </c>
      <c r="BC117" t="s">
        <v>17</v>
      </c>
      <c r="BD117">
        <v>50</v>
      </c>
      <c r="BE117" t="s">
        <v>253</v>
      </c>
    </row>
    <row r="118" spans="1:57" x14ac:dyDescent="0.45">
      <c r="A118" t="s">
        <v>87</v>
      </c>
      <c r="B118" t="s">
        <v>308</v>
      </c>
      <c r="D118" t="s">
        <v>314</v>
      </c>
      <c r="E118" t="s">
        <v>96</v>
      </c>
      <c r="F118" t="s">
        <v>264</v>
      </c>
      <c r="G118" t="s">
        <v>264</v>
      </c>
      <c r="AA118">
        <v>3.0535449180006777</v>
      </c>
      <c r="AB118">
        <v>3.0535449180006777</v>
      </c>
      <c r="AC118">
        <v>3.0535449180006777</v>
      </c>
      <c r="AD118">
        <v>3.6393580453865075</v>
      </c>
      <c r="AE118">
        <v>3.6393580453865075</v>
      </c>
      <c r="AF118">
        <v>3.6393580453865075</v>
      </c>
      <c r="AG118">
        <v>3.3876863655453873</v>
      </c>
      <c r="AH118">
        <v>3.3876863655453873</v>
      </c>
      <c r="AI118">
        <v>3.3876863655453873</v>
      </c>
      <c r="AJ118">
        <v>21.136585889999999</v>
      </c>
      <c r="AK118">
        <v>21.136585889999999</v>
      </c>
      <c r="AL118">
        <v>21.136585889999999</v>
      </c>
      <c r="AP118">
        <v>0.22986909916269949</v>
      </c>
      <c r="AQ118">
        <v>0.22986909916269949</v>
      </c>
      <c r="AR118">
        <v>0.22986909916269949</v>
      </c>
      <c r="AS118">
        <v>5.6284050155903996E-4</v>
      </c>
      <c r="AT118">
        <v>5.6284050155903996E-4</v>
      </c>
      <c r="AU118">
        <v>5.6284050155903996E-4</v>
      </c>
      <c r="BC118" t="s">
        <v>17</v>
      </c>
      <c r="BD118">
        <v>50</v>
      </c>
      <c r="BE118" t="s">
        <v>253</v>
      </c>
    </row>
    <row r="119" spans="1:57" x14ac:dyDescent="0.45">
      <c r="A119" t="s">
        <v>87</v>
      </c>
      <c r="B119" t="s">
        <v>315</v>
      </c>
      <c r="D119" t="s">
        <v>10</v>
      </c>
      <c r="E119" t="s">
        <v>99</v>
      </c>
      <c r="F119" t="s">
        <v>265</v>
      </c>
      <c r="G119" t="s">
        <v>265</v>
      </c>
      <c r="AA119">
        <v>1.9265251108368846</v>
      </c>
      <c r="AB119">
        <v>1.9265251108368846</v>
      </c>
      <c r="AC119">
        <v>1.9265251108368846</v>
      </c>
      <c r="AD119">
        <v>2.2961229816635673</v>
      </c>
      <c r="AE119">
        <v>2.2961229816635673</v>
      </c>
      <c r="AF119">
        <v>2.2961229816635673</v>
      </c>
      <c r="AG119">
        <v>2.1373397235420928</v>
      </c>
      <c r="AH119">
        <v>2.1373397235420928</v>
      </c>
      <c r="AI119">
        <v>2.1373397235420928</v>
      </c>
      <c r="AJ119">
        <v>13.335373989227998</v>
      </c>
      <c r="AK119">
        <v>13.335373989227998</v>
      </c>
      <c r="AL119">
        <v>13.335373989227998</v>
      </c>
      <c r="AP119">
        <v>0.14502769850602085</v>
      </c>
      <c r="AQ119">
        <v>0.14502769850602085</v>
      </c>
      <c r="AR119">
        <v>0.14502769850602085</v>
      </c>
      <c r="AS119">
        <v>3.5510411301219207E-4</v>
      </c>
      <c r="AT119">
        <v>3.5510411301219207E-4</v>
      </c>
      <c r="AU119">
        <v>3.5510411301219207E-4</v>
      </c>
      <c r="BC119" t="s">
        <v>17</v>
      </c>
      <c r="BD119">
        <v>50</v>
      </c>
      <c r="BE119" t="s">
        <v>253</v>
      </c>
    </row>
    <row r="120" spans="1:57" x14ac:dyDescent="0.45">
      <c r="A120" t="s">
        <v>87</v>
      </c>
      <c r="B120" t="s">
        <v>311</v>
      </c>
      <c r="D120" t="s">
        <v>312</v>
      </c>
      <c r="E120" t="s">
        <v>97</v>
      </c>
      <c r="F120" t="s">
        <v>328</v>
      </c>
      <c r="G120" t="s">
        <v>266</v>
      </c>
      <c r="AA120">
        <v>1.2039691390974101</v>
      </c>
      <c r="AB120">
        <v>1.2039691390974101</v>
      </c>
      <c r="AC120">
        <v>1.2039691390974101</v>
      </c>
      <c r="AD120">
        <v>1.4349468864666801</v>
      </c>
      <c r="AE120">
        <v>1.4349468864666801</v>
      </c>
      <c r="AF120">
        <v>1.4349468864666801</v>
      </c>
      <c r="AG120">
        <v>1.3357163384150383</v>
      </c>
      <c r="AH120">
        <v>1.3357163384150383</v>
      </c>
      <c r="AI120">
        <v>1.3357163384150383</v>
      </c>
      <c r="AJ120">
        <v>8.3338538651999983</v>
      </c>
      <c r="AK120">
        <v>8.3338538651999983</v>
      </c>
      <c r="AL120">
        <v>8.3338538651999983</v>
      </c>
      <c r="AP120">
        <v>9.0634101955578653E-2</v>
      </c>
      <c r="AQ120">
        <v>9.0634101955578653E-2</v>
      </c>
      <c r="AR120">
        <v>9.0634101955578653E-2</v>
      </c>
      <c r="AS120">
        <v>2.2191996918613578E-4</v>
      </c>
      <c r="AT120">
        <v>2.2191996918613578E-4</v>
      </c>
      <c r="AU120">
        <v>2.2191996918613578E-4</v>
      </c>
      <c r="BC120" t="s">
        <v>17</v>
      </c>
      <c r="BD120">
        <v>50</v>
      </c>
      <c r="BE120" t="s">
        <v>253</v>
      </c>
    </row>
    <row r="121" spans="1:57" x14ac:dyDescent="0.45">
      <c r="A121" t="s">
        <v>87</v>
      </c>
      <c r="B121" t="s">
        <v>316</v>
      </c>
      <c r="D121" t="s">
        <v>312</v>
      </c>
      <c r="E121" t="s">
        <v>101</v>
      </c>
      <c r="F121" t="s">
        <v>328</v>
      </c>
      <c r="G121" t="s">
        <v>266</v>
      </c>
      <c r="AA121">
        <v>1.2039691390974101</v>
      </c>
      <c r="AB121">
        <v>1.2039691390974101</v>
      </c>
      <c r="AC121">
        <v>1.2039691390974101</v>
      </c>
      <c r="AD121">
        <v>1.4349468864666801</v>
      </c>
      <c r="AE121">
        <v>1.4349468864666801</v>
      </c>
      <c r="AF121">
        <v>1.4349468864666801</v>
      </c>
      <c r="AG121">
        <v>1.3357163384150383</v>
      </c>
      <c r="AH121">
        <v>1.3357163384150383</v>
      </c>
      <c r="AI121">
        <v>1.3357163384150383</v>
      </c>
      <c r="AJ121">
        <v>8.3338538651999983</v>
      </c>
      <c r="AK121">
        <v>8.3338538651999983</v>
      </c>
      <c r="AL121">
        <v>8.3338538651999983</v>
      </c>
      <c r="AP121">
        <v>9.0634101955578653E-2</v>
      </c>
      <c r="AQ121">
        <v>9.0634101955578653E-2</v>
      </c>
      <c r="AR121">
        <v>9.0634101955578653E-2</v>
      </c>
      <c r="AS121">
        <v>2.2191996918613578E-4</v>
      </c>
      <c r="AT121">
        <v>2.2191996918613578E-4</v>
      </c>
      <c r="AU121">
        <v>2.2191996918613578E-4</v>
      </c>
      <c r="BC121" t="s">
        <v>17</v>
      </c>
      <c r="BD121">
        <v>50</v>
      </c>
      <c r="BE121" t="s">
        <v>253</v>
      </c>
    </row>
    <row r="122" spans="1:57" x14ac:dyDescent="0.45">
      <c r="A122" t="s">
        <v>87</v>
      </c>
      <c r="B122" t="s">
        <v>308</v>
      </c>
      <c r="D122" t="s">
        <v>309</v>
      </c>
      <c r="E122" t="s">
        <v>90</v>
      </c>
      <c r="F122" t="s">
        <v>329</v>
      </c>
      <c r="G122" t="s">
        <v>269</v>
      </c>
      <c r="AA122">
        <v>3.0535449180006776E-2</v>
      </c>
      <c r="AB122">
        <v>2.1811035128576267E-2</v>
      </c>
      <c r="AC122">
        <v>4.798427728286779E-2</v>
      </c>
      <c r="AD122">
        <v>3.6393580453865079E-2</v>
      </c>
      <c r="AE122">
        <v>2.5995414609903626E-2</v>
      </c>
      <c r="AF122">
        <v>5.718991214178798E-2</v>
      </c>
      <c r="AG122">
        <v>3.3876863655453872E-2</v>
      </c>
      <c r="AH122">
        <v>2.4197759753895626E-2</v>
      </c>
      <c r="AI122">
        <v>5.3235071458570371E-2</v>
      </c>
      <c r="AJ122">
        <v>0.21136585889999998</v>
      </c>
      <c r="AK122">
        <v>0.15097561349999999</v>
      </c>
      <c r="AL122">
        <v>0.33214634969999995</v>
      </c>
      <c r="AP122">
        <v>2.2986909916269949E-3</v>
      </c>
      <c r="AQ122">
        <v>1.641922136876425E-3</v>
      </c>
      <c r="AR122">
        <v>3.612228701128135E-3</v>
      </c>
      <c r="AS122">
        <v>5.6284050155904009E-6</v>
      </c>
      <c r="AT122">
        <v>4.020289296850286E-6</v>
      </c>
      <c r="AU122">
        <v>8.844636453070629E-6</v>
      </c>
      <c r="BC122" t="s">
        <v>17</v>
      </c>
      <c r="BD122">
        <v>50</v>
      </c>
      <c r="BE122" t="s">
        <v>253</v>
      </c>
    </row>
    <row r="123" spans="1:57" x14ac:dyDescent="0.45">
      <c r="A123" t="s">
        <v>87</v>
      </c>
      <c r="B123" t="s">
        <v>316</v>
      </c>
      <c r="D123" t="s">
        <v>312</v>
      </c>
      <c r="E123" t="s">
        <v>101</v>
      </c>
      <c r="F123" t="s">
        <v>330</v>
      </c>
      <c r="G123" t="s">
        <v>267</v>
      </c>
      <c r="AA123">
        <v>1.8844734351089896</v>
      </c>
      <c r="AB123">
        <v>1.8844734351089896</v>
      </c>
      <c r="AC123">
        <v>1.8844734351089896</v>
      </c>
      <c r="AD123">
        <v>2.2460038222956733</v>
      </c>
      <c r="AE123">
        <v>2.2460038222956733</v>
      </c>
      <c r="AF123">
        <v>2.2460038222956733</v>
      </c>
      <c r="AG123">
        <v>2.0906864427365819</v>
      </c>
      <c r="AH123">
        <v>2.0906864427365819</v>
      </c>
      <c r="AI123">
        <v>2.0906864427365819</v>
      </c>
      <c r="AJ123">
        <v>13.044293006399998</v>
      </c>
      <c r="AK123">
        <v>13.044293006399998</v>
      </c>
      <c r="AL123">
        <v>13.044293006399998</v>
      </c>
      <c r="AP123">
        <v>0.1418620726261231</v>
      </c>
      <c r="AQ123">
        <v>0.1418620726261231</v>
      </c>
      <c r="AR123">
        <v>0.1418620726261231</v>
      </c>
      <c r="AS123">
        <v>3.4735299524786469E-4</v>
      </c>
      <c r="AT123">
        <v>3.4735299524786469E-4</v>
      </c>
      <c r="AU123">
        <v>3.4735299524786469E-4</v>
      </c>
      <c r="BC123" t="s">
        <v>17</v>
      </c>
      <c r="BD123">
        <v>50</v>
      </c>
      <c r="BE123" t="s">
        <v>253</v>
      </c>
    </row>
    <row r="124" spans="1:57" x14ac:dyDescent="0.45">
      <c r="A124" t="s">
        <v>87</v>
      </c>
      <c r="B124" t="s">
        <v>311</v>
      </c>
      <c r="D124" t="s">
        <v>312</v>
      </c>
      <c r="E124" t="s">
        <v>97</v>
      </c>
      <c r="F124" t="s">
        <v>331</v>
      </c>
      <c r="G124" t="s">
        <v>227</v>
      </c>
      <c r="AA124">
        <v>4.8420497985439313E-2</v>
      </c>
      <c r="AB124">
        <v>3.2280331990292878E-2</v>
      </c>
      <c r="AC124">
        <v>8.0700829975732191E-2</v>
      </c>
      <c r="AD124">
        <v>5.7709820433986043E-2</v>
      </c>
      <c r="AE124">
        <v>3.8473213622657369E-2</v>
      </c>
      <c r="AF124">
        <v>9.6183034056643413E-2</v>
      </c>
      <c r="AG124">
        <v>5.3719026653648284E-2</v>
      </c>
      <c r="AH124">
        <v>3.5812684435765525E-2</v>
      </c>
      <c r="AI124">
        <v>8.953171108941381E-2</v>
      </c>
      <c r="AJ124">
        <v>0.33516586196999998</v>
      </c>
      <c r="AK124">
        <v>0.22344390797999999</v>
      </c>
      <c r="AL124">
        <v>0.55860976994999989</v>
      </c>
      <c r="AP124">
        <v>3.6450671438656634E-3</v>
      </c>
      <c r="AQ124">
        <v>2.4300447625771092E-3</v>
      </c>
      <c r="AR124">
        <v>6.0751119064427726E-3</v>
      </c>
      <c r="AS124">
        <v>8.925042239007634E-6</v>
      </c>
      <c r="AT124">
        <v>5.9500281593384235E-6</v>
      </c>
      <c r="AU124">
        <v>1.487507039834606E-5</v>
      </c>
      <c r="BC124" t="s">
        <v>17</v>
      </c>
      <c r="BD124">
        <v>50</v>
      </c>
      <c r="BE124" t="s">
        <v>253</v>
      </c>
    </row>
    <row r="125" spans="1:57" x14ac:dyDescent="0.45">
      <c r="A125" t="s">
        <v>87</v>
      </c>
      <c r="B125" t="s">
        <v>316</v>
      </c>
      <c r="D125" t="s">
        <v>312</v>
      </c>
      <c r="E125" t="s">
        <v>101</v>
      </c>
      <c r="F125" t="s">
        <v>331</v>
      </c>
      <c r="G125" t="s">
        <v>227</v>
      </c>
      <c r="AA125">
        <v>4.8420497985439313E-2</v>
      </c>
      <c r="AB125">
        <v>3.2280331990292878E-2</v>
      </c>
      <c r="AC125">
        <v>8.0700829975732191E-2</v>
      </c>
      <c r="AD125">
        <v>5.7709820433986043E-2</v>
      </c>
      <c r="AE125">
        <v>3.8473213622657369E-2</v>
      </c>
      <c r="AF125">
        <v>9.6183034056643413E-2</v>
      </c>
      <c r="AG125">
        <v>5.3719026653648284E-2</v>
      </c>
      <c r="AH125">
        <v>3.5812684435765525E-2</v>
      </c>
      <c r="AI125">
        <v>8.953171108941381E-2</v>
      </c>
      <c r="AJ125">
        <v>0.33516586196999998</v>
      </c>
      <c r="AK125">
        <v>0.22344390797999999</v>
      </c>
      <c r="AL125">
        <v>0.55860976994999989</v>
      </c>
      <c r="AP125">
        <v>3.6450671438656634E-3</v>
      </c>
      <c r="AQ125">
        <v>2.4300447625771092E-3</v>
      </c>
      <c r="AR125">
        <v>6.0751119064427726E-3</v>
      </c>
      <c r="AS125">
        <v>8.925042239007634E-6</v>
      </c>
      <c r="AT125">
        <v>5.9500281593384235E-6</v>
      </c>
      <c r="AU125">
        <v>1.487507039834606E-5</v>
      </c>
      <c r="BC125" t="s">
        <v>17</v>
      </c>
      <c r="BD125">
        <v>50</v>
      </c>
      <c r="BE125" t="s">
        <v>253</v>
      </c>
    </row>
    <row r="126" spans="1:57" x14ac:dyDescent="0.45">
      <c r="A126" t="s">
        <v>87</v>
      </c>
      <c r="B126" t="s">
        <v>325</v>
      </c>
      <c r="D126" t="s">
        <v>312</v>
      </c>
      <c r="E126" t="s">
        <v>102</v>
      </c>
      <c r="F126" t="s">
        <v>331</v>
      </c>
      <c r="G126" t="s">
        <v>227</v>
      </c>
      <c r="AA126">
        <v>4.1615455025323517E-2</v>
      </c>
      <c r="AB126">
        <v>2.7743636683549015E-2</v>
      </c>
      <c r="AC126">
        <v>6.9446335849386837E-2</v>
      </c>
      <c r="AD126">
        <v>4.9599251075696113E-2</v>
      </c>
      <c r="AE126">
        <v>3.3066167383797411E-2</v>
      </c>
      <c r="AF126">
        <v>8.2769400117933142E-2</v>
      </c>
      <c r="AG126">
        <v>4.6169325610432847E-2</v>
      </c>
      <c r="AH126">
        <v>3.0779550406955236E-2</v>
      </c>
      <c r="AI126">
        <v>7.7045667056403672E-2</v>
      </c>
      <c r="AJ126">
        <v>0.28806147055799997</v>
      </c>
      <c r="AK126">
        <v>0.19204098037199999</v>
      </c>
      <c r="AL126">
        <v>0.48070635338399997</v>
      </c>
      <c r="AP126">
        <v>3.1327874371602183E-3</v>
      </c>
      <c r="AQ126">
        <v>2.0885249581068127E-3</v>
      </c>
      <c r="AR126">
        <v>5.2278800838145368E-3</v>
      </c>
      <c r="AS126">
        <v>7.6707119783903451E-6</v>
      </c>
      <c r="AT126">
        <v>5.113807985593564E-6</v>
      </c>
      <c r="AU126">
        <v>1.2800601121171311E-5</v>
      </c>
      <c r="BC126" t="s">
        <v>17</v>
      </c>
      <c r="BD126">
        <v>50</v>
      </c>
      <c r="BE126" t="s">
        <v>253</v>
      </c>
    </row>
    <row r="127" spans="1:57" x14ac:dyDescent="0.45">
      <c r="A127" t="s">
        <v>110</v>
      </c>
      <c r="B127" t="s">
        <v>318</v>
      </c>
      <c r="D127" t="s">
        <v>312</v>
      </c>
      <c r="E127" t="s">
        <v>116</v>
      </c>
      <c r="F127" t="s">
        <v>332</v>
      </c>
      <c r="G127" t="s">
        <v>227</v>
      </c>
      <c r="AA127">
        <v>1.6140165995146439E-2</v>
      </c>
      <c r="AB127">
        <v>0</v>
      </c>
      <c r="AC127">
        <v>4.8420497985439313E-2</v>
      </c>
      <c r="AD127">
        <v>1.9236606811328685E-2</v>
      </c>
      <c r="AE127">
        <v>0</v>
      </c>
      <c r="AF127">
        <v>5.7709820433986043E-2</v>
      </c>
      <c r="AG127">
        <v>1.7906342217882763E-2</v>
      </c>
      <c r="AH127">
        <v>0</v>
      </c>
      <c r="AI127">
        <v>5.3719026653648284E-2</v>
      </c>
      <c r="AJ127">
        <v>0.11172195399</v>
      </c>
      <c r="AK127">
        <v>0</v>
      </c>
      <c r="AL127">
        <v>0.33516586196999998</v>
      </c>
      <c r="AP127">
        <v>1.2150223812885546E-3</v>
      </c>
      <c r="AQ127">
        <v>0</v>
      </c>
      <c r="AR127">
        <v>3.6450671438656634E-3</v>
      </c>
      <c r="AS127">
        <v>2.9750140796692118E-6</v>
      </c>
      <c r="AT127">
        <v>0</v>
      </c>
      <c r="AU127">
        <v>8.925042239007634E-6</v>
      </c>
      <c r="BC127" t="s">
        <v>17</v>
      </c>
      <c r="BD127">
        <v>50</v>
      </c>
      <c r="BE127" t="s">
        <v>253</v>
      </c>
    </row>
    <row r="128" spans="1:57" x14ac:dyDescent="0.45">
      <c r="A128" t="s">
        <v>87</v>
      </c>
      <c r="B128" t="s">
        <v>308</v>
      </c>
      <c r="D128" t="s">
        <v>313</v>
      </c>
      <c r="E128" t="s">
        <v>93</v>
      </c>
      <c r="F128" t="s">
        <v>333</v>
      </c>
      <c r="G128" t="s">
        <v>271</v>
      </c>
      <c r="AA128">
        <v>5.8017353442012878E-2</v>
      </c>
      <c r="AB128">
        <v>4.4756244083838499E-2</v>
      </c>
      <c r="AC128">
        <v>8.4539572158361609E-2</v>
      </c>
      <c r="AD128">
        <v>6.9147802862343649E-2</v>
      </c>
      <c r="AE128">
        <v>5.3342590779522241E-2</v>
      </c>
      <c r="AF128">
        <v>0.10075822702798645</v>
      </c>
      <c r="AG128">
        <v>6.4366040945362357E-2</v>
      </c>
      <c r="AH128">
        <v>4.9653803014993822E-2</v>
      </c>
      <c r="AI128">
        <v>9.3790516806099428E-2</v>
      </c>
      <c r="AJ128">
        <v>0.40159513190999996</v>
      </c>
      <c r="AK128">
        <v>0.30980195890199996</v>
      </c>
      <c r="AL128">
        <v>0.58518147792599995</v>
      </c>
      <c r="AP128">
        <v>4.3675128840912902E-3</v>
      </c>
      <c r="AQ128">
        <v>3.369224224870424E-3</v>
      </c>
      <c r="AR128">
        <v>6.3640902025330227E-3</v>
      </c>
      <c r="AS128">
        <v>1.0693969529621761E-5</v>
      </c>
      <c r="AT128">
        <v>8.2496336371367854E-6</v>
      </c>
      <c r="AU128">
        <v>1.5582641314591707E-5</v>
      </c>
      <c r="BC128" t="s">
        <v>17</v>
      </c>
      <c r="BD128">
        <v>50</v>
      </c>
      <c r="BE128" t="s">
        <v>253</v>
      </c>
    </row>
    <row r="129" spans="1:57" x14ac:dyDescent="0.45">
      <c r="A129" t="s">
        <v>87</v>
      </c>
      <c r="B129" t="s">
        <v>325</v>
      </c>
      <c r="D129" t="s">
        <v>312</v>
      </c>
      <c r="E129" t="s">
        <v>102</v>
      </c>
      <c r="F129" t="s">
        <v>334</v>
      </c>
      <c r="G129" t="s">
        <v>272</v>
      </c>
      <c r="AA129">
        <v>2.3643162079376674E-2</v>
      </c>
      <c r="AB129">
        <v>2.3643162079376674E-2</v>
      </c>
      <c r="AC129">
        <v>2.3643162079376674E-2</v>
      </c>
      <c r="AD129">
        <v>2.817902943713553E-2</v>
      </c>
      <c r="AE129">
        <v>2.817902943713553E-2</v>
      </c>
      <c r="AF129">
        <v>2.817902943713553E-2</v>
      </c>
      <c r="AG129">
        <v>2.6230371573222857E-2</v>
      </c>
      <c r="AH129">
        <v>2.6230371573222857E-2</v>
      </c>
      <c r="AI129">
        <v>2.6230371573222857E-2</v>
      </c>
      <c r="AJ129">
        <v>0.16365756503399997</v>
      </c>
      <c r="AK129">
        <v>0.16365756503399997</v>
      </c>
      <c r="AL129">
        <v>0.16365756503399997</v>
      </c>
      <c r="AP129">
        <v>1.7798435963740447E-3</v>
      </c>
      <c r="AQ129">
        <v>1.7798435963740447E-3</v>
      </c>
      <c r="AR129">
        <v>1.7798435963740447E-3</v>
      </c>
      <c r="AS129">
        <v>4.3579935977857095E-6</v>
      </c>
      <c r="AT129">
        <v>4.3579935977857095E-6</v>
      </c>
      <c r="AU129">
        <v>4.3579935977857095E-6</v>
      </c>
      <c r="BC129" t="s">
        <v>17</v>
      </c>
      <c r="BD129">
        <v>50</v>
      </c>
      <c r="BE129" t="s">
        <v>253</v>
      </c>
    </row>
    <row r="130" spans="1:57" x14ac:dyDescent="0.45">
      <c r="A130" t="s">
        <v>87</v>
      </c>
      <c r="B130" t="s">
        <v>325</v>
      </c>
      <c r="D130" t="s">
        <v>275</v>
      </c>
      <c r="E130" t="s">
        <v>103</v>
      </c>
      <c r="F130" t="s">
        <v>334</v>
      </c>
      <c r="G130" t="s">
        <v>272</v>
      </c>
      <c r="AA130">
        <v>2.3643162079376674E-2</v>
      </c>
      <c r="AB130">
        <v>2.3643162079376674E-2</v>
      </c>
      <c r="AC130">
        <v>2.3643162079376674E-2</v>
      </c>
      <c r="AD130">
        <v>2.817902943713553E-2</v>
      </c>
      <c r="AE130">
        <v>2.817902943713553E-2</v>
      </c>
      <c r="AF130">
        <v>2.817902943713553E-2</v>
      </c>
      <c r="AG130">
        <v>2.6230371573222857E-2</v>
      </c>
      <c r="AH130">
        <v>2.6230371573222857E-2</v>
      </c>
      <c r="AI130">
        <v>2.6230371573222857E-2</v>
      </c>
      <c r="AJ130">
        <v>0.16365756503399997</v>
      </c>
      <c r="AK130">
        <v>0.16365756503399997</v>
      </c>
      <c r="AL130">
        <v>0.16365756503399997</v>
      </c>
      <c r="AP130">
        <v>1.7798435963740447E-3</v>
      </c>
      <c r="AQ130">
        <v>1.7798435963740447E-3</v>
      </c>
      <c r="AR130">
        <v>1.7798435963740447E-3</v>
      </c>
      <c r="AS130">
        <v>4.3579935977857095E-6</v>
      </c>
      <c r="AT130">
        <v>4.3579935977857095E-6</v>
      </c>
      <c r="AU130">
        <v>4.3579935977857095E-6</v>
      </c>
      <c r="BC130" t="s">
        <v>17</v>
      </c>
      <c r="BD130">
        <v>50</v>
      </c>
      <c r="BE130" t="s">
        <v>253</v>
      </c>
    </row>
    <row r="131" spans="1:57" x14ac:dyDescent="0.45">
      <c r="A131" t="s">
        <v>87</v>
      </c>
      <c r="B131" t="s">
        <v>325</v>
      </c>
      <c r="D131" t="s">
        <v>275</v>
      </c>
      <c r="E131" t="s">
        <v>103</v>
      </c>
      <c r="F131" t="s">
        <v>241</v>
      </c>
      <c r="G131" t="s">
        <v>275</v>
      </c>
      <c r="AA131">
        <v>0.16750874978746574</v>
      </c>
      <c r="AB131">
        <v>0.13959062482288812</v>
      </c>
      <c r="AC131">
        <v>0.223344999716621</v>
      </c>
      <c r="AD131">
        <v>0.19964478420405984</v>
      </c>
      <c r="AE131">
        <v>0.1663706535033832</v>
      </c>
      <c r="AF131">
        <v>0.26619304560541313</v>
      </c>
      <c r="AG131">
        <v>0.18583879490991839</v>
      </c>
      <c r="AH131">
        <v>0.15486566242493199</v>
      </c>
      <c r="AI131">
        <v>0.24778505987989119</v>
      </c>
      <c r="AJ131">
        <v>1.1594927116799998</v>
      </c>
      <c r="AK131">
        <v>0.9662439263999999</v>
      </c>
      <c r="AL131">
        <v>1.54599028224</v>
      </c>
      <c r="AP131">
        <v>1.2609962011210942E-2</v>
      </c>
      <c r="AQ131">
        <v>1.050830167600912E-2</v>
      </c>
      <c r="AR131">
        <v>1.6813282681614593E-2</v>
      </c>
      <c r="AS131">
        <v>3.0875821799810194E-5</v>
      </c>
      <c r="AT131">
        <v>2.5729851499841828E-5</v>
      </c>
      <c r="AU131">
        <v>4.1167762399746932E-5</v>
      </c>
      <c r="BC131" t="s">
        <v>17</v>
      </c>
      <c r="BD131">
        <v>50</v>
      </c>
      <c r="BE131" t="s">
        <v>253</v>
      </c>
    </row>
    <row r="132" spans="1:57" x14ac:dyDescent="0.45">
      <c r="A132" t="s">
        <v>87</v>
      </c>
      <c r="B132" t="s">
        <v>308</v>
      </c>
      <c r="D132" t="s">
        <v>314</v>
      </c>
      <c r="E132" t="s">
        <v>96</v>
      </c>
      <c r="F132" t="s">
        <v>333</v>
      </c>
      <c r="G132" t="s">
        <v>276</v>
      </c>
      <c r="AA132">
        <v>8.3754374893732872E-2</v>
      </c>
      <c r="AB132">
        <v>5.583624992915525E-2</v>
      </c>
      <c r="AC132">
        <v>0.13959062482288812</v>
      </c>
      <c r="AD132">
        <v>9.9822392102029922E-2</v>
      </c>
      <c r="AE132">
        <v>6.6548261401353281E-2</v>
      </c>
      <c r="AF132">
        <v>0.1663706535033832</v>
      </c>
      <c r="AG132">
        <v>9.2919397454959196E-2</v>
      </c>
      <c r="AH132">
        <v>6.1946264969972797E-2</v>
      </c>
      <c r="AI132">
        <v>0.15486566242493199</v>
      </c>
      <c r="AJ132">
        <v>0.57974635583999989</v>
      </c>
      <c r="AK132">
        <v>0.38649757056</v>
      </c>
      <c r="AL132">
        <v>0.9662439263999999</v>
      </c>
      <c r="AP132">
        <v>6.3049810056054712E-3</v>
      </c>
      <c r="AQ132">
        <v>4.2033206704036484E-3</v>
      </c>
      <c r="AR132">
        <v>1.050830167600912E-2</v>
      </c>
      <c r="AS132">
        <v>1.5437910899905097E-5</v>
      </c>
      <c r="AT132">
        <v>1.0291940599936733E-5</v>
      </c>
      <c r="AU132">
        <v>2.5729851499841828E-5</v>
      </c>
      <c r="BC132" t="s">
        <v>17</v>
      </c>
      <c r="BD132">
        <v>50</v>
      </c>
      <c r="BE132" t="s">
        <v>253</v>
      </c>
    </row>
    <row r="133" spans="1:57" x14ac:dyDescent="0.45">
      <c r="A133" t="s">
        <v>87</v>
      </c>
      <c r="B133" t="s">
        <v>325</v>
      </c>
      <c r="D133" t="s">
        <v>312</v>
      </c>
      <c r="E133" t="s">
        <v>102</v>
      </c>
      <c r="F133" t="s">
        <v>243</v>
      </c>
      <c r="G133" t="s">
        <v>243</v>
      </c>
      <c r="AA133">
        <v>0.1032098182284229</v>
      </c>
      <c r="AB133">
        <v>0.1032098182284229</v>
      </c>
      <c r="AC133">
        <v>0.1032098182284229</v>
      </c>
      <c r="AD133">
        <v>0.12301030193406395</v>
      </c>
      <c r="AE133">
        <v>0.12301030193406395</v>
      </c>
      <c r="AF133">
        <v>0.12301030193406395</v>
      </c>
      <c r="AG133">
        <v>0.1145037991554341</v>
      </c>
      <c r="AH133">
        <v>0.1145037991554341</v>
      </c>
      <c r="AI133">
        <v>0.1145037991554341</v>
      </c>
      <c r="AJ133">
        <v>0.71441660308199995</v>
      </c>
      <c r="AK133">
        <v>0.71441660308199995</v>
      </c>
      <c r="AL133">
        <v>0.71441660308199995</v>
      </c>
      <c r="AP133">
        <v>7.7695755516992426E-3</v>
      </c>
      <c r="AQ133">
        <v>7.7695755516992426E-3</v>
      </c>
      <c r="AR133">
        <v>7.7695755516992426E-3</v>
      </c>
      <c r="AS133">
        <v>1.9024008952695555E-5</v>
      </c>
      <c r="AT133">
        <v>1.9024008952695555E-5</v>
      </c>
      <c r="AU133">
        <v>1.9024008952695555E-5</v>
      </c>
      <c r="BC133" t="s">
        <v>17</v>
      </c>
      <c r="BD133">
        <v>50</v>
      </c>
      <c r="BE133" t="s">
        <v>253</v>
      </c>
    </row>
    <row r="134" spans="1:57" x14ac:dyDescent="0.45">
      <c r="A134" t="s">
        <v>87</v>
      </c>
      <c r="B134" t="s">
        <v>325</v>
      </c>
      <c r="D134" t="s">
        <v>275</v>
      </c>
      <c r="E134" t="s">
        <v>103</v>
      </c>
      <c r="F134" t="s">
        <v>243</v>
      </c>
      <c r="G134" t="s">
        <v>243</v>
      </c>
      <c r="AA134">
        <v>0.2064196364568458</v>
      </c>
      <c r="AB134">
        <v>0.2064196364568458</v>
      </c>
      <c r="AC134">
        <v>0.2064196364568458</v>
      </c>
      <c r="AD134">
        <v>0.24602060386812791</v>
      </c>
      <c r="AE134">
        <v>0.24602060386812791</v>
      </c>
      <c r="AF134">
        <v>0.24602060386812791</v>
      </c>
      <c r="AG134">
        <v>0.2290075983108682</v>
      </c>
      <c r="AH134">
        <v>0.2290075983108682</v>
      </c>
      <c r="AI134">
        <v>0.2290075983108682</v>
      </c>
      <c r="AJ134">
        <v>1.4288332061639999</v>
      </c>
      <c r="AK134">
        <v>1.4288332061639999</v>
      </c>
      <c r="AL134">
        <v>1.4288332061639999</v>
      </c>
      <c r="AP134">
        <v>1.5539151103398485E-2</v>
      </c>
      <c r="AQ134">
        <v>1.5539151103398485E-2</v>
      </c>
      <c r="AR134">
        <v>1.5539151103398485E-2</v>
      </c>
      <c r="AS134">
        <v>3.8048017905391111E-5</v>
      </c>
      <c r="AT134">
        <v>3.8048017905391111E-5</v>
      </c>
      <c r="AU134">
        <v>3.8048017905391111E-5</v>
      </c>
      <c r="BC134" t="s">
        <v>17</v>
      </c>
      <c r="BD134">
        <v>50</v>
      </c>
      <c r="BE134" t="s">
        <v>253</v>
      </c>
    </row>
    <row r="135" spans="1:57" x14ac:dyDescent="0.45">
      <c r="A135" t="s">
        <v>110</v>
      </c>
      <c r="B135" t="s">
        <v>318</v>
      </c>
      <c r="D135" t="s">
        <v>312</v>
      </c>
      <c r="E135" t="s">
        <v>116</v>
      </c>
      <c r="F135" t="s">
        <v>243</v>
      </c>
      <c r="G135" t="s">
        <v>243</v>
      </c>
      <c r="AA135">
        <v>0.4128392729136916</v>
      </c>
      <c r="AB135">
        <v>0.4128392729136916</v>
      </c>
      <c r="AC135">
        <v>0.4128392729136916</v>
      </c>
      <c r="AD135">
        <v>0.49204120773625581</v>
      </c>
      <c r="AE135">
        <v>0.49204120773625581</v>
      </c>
      <c r="AF135">
        <v>0.49204120773625581</v>
      </c>
      <c r="AG135">
        <v>0.4580151966217364</v>
      </c>
      <c r="AH135">
        <v>0.4580151966217364</v>
      </c>
      <c r="AI135">
        <v>0.4580151966217364</v>
      </c>
      <c r="AJ135">
        <v>2.8576664123279998</v>
      </c>
      <c r="AK135">
        <v>2.8576664123279998</v>
      </c>
      <c r="AL135">
        <v>2.8576664123279998</v>
      </c>
      <c r="AP135">
        <v>3.1078302206796971E-2</v>
      </c>
      <c r="AQ135">
        <v>3.1078302206796971E-2</v>
      </c>
      <c r="AR135">
        <v>3.1078302206796971E-2</v>
      </c>
      <c r="AS135">
        <v>7.6096035810782221E-5</v>
      </c>
      <c r="AT135">
        <v>7.6096035810782221E-5</v>
      </c>
      <c r="AU135">
        <v>7.6096035810782221E-5</v>
      </c>
      <c r="BC135" t="s">
        <v>17</v>
      </c>
      <c r="BD135">
        <v>50</v>
      </c>
      <c r="BE135" t="s">
        <v>253</v>
      </c>
    </row>
    <row r="136" spans="1:57" x14ac:dyDescent="0.45">
      <c r="A136" t="s">
        <v>110</v>
      </c>
      <c r="B136" t="s">
        <v>326</v>
      </c>
      <c r="D136" t="s">
        <v>303</v>
      </c>
      <c r="E136" t="s">
        <v>115</v>
      </c>
      <c r="F136" t="s">
        <v>335</v>
      </c>
      <c r="G136" t="s">
        <v>290</v>
      </c>
      <c r="AA136">
        <v>5.3044437432697482E-2</v>
      </c>
      <c r="AB136">
        <v>5.3044437432697482E-2</v>
      </c>
      <c r="AC136">
        <v>5.3044437432697482E-2</v>
      </c>
      <c r="AD136">
        <v>6.322084833128562E-2</v>
      </c>
      <c r="AE136">
        <v>6.322084833128562E-2</v>
      </c>
      <c r="AF136">
        <v>6.322084833128562E-2</v>
      </c>
      <c r="AG136">
        <v>5.8848951721474155E-2</v>
      </c>
      <c r="AH136">
        <v>5.8848951721474155E-2</v>
      </c>
      <c r="AI136">
        <v>5.8848951721474155E-2</v>
      </c>
      <c r="AJ136">
        <v>0.36717269203199998</v>
      </c>
      <c r="AK136">
        <v>0.36717269203199998</v>
      </c>
      <c r="AL136">
        <v>0.36717269203199998</v>
      </c>
      <c r="AP136">
        <v>3.9931546368834657E-3</v>
      </c>
      <c r="AQ136">
        <v>3.9931546368834657E-3</v>
      </c>
      <c r="AR136">
        <v>3.9931546368834657E-3</v>
      </c>
      <c r="AS136">
        <v>9.7773435699398961E-6</v>
      </c>
      <c r="AT136">
        <v>9.7773435699398961E-6</v>
      </c>
      <c r="AU136">
        <v>9.7773435699398961E-6</v>
      </c>
      <c r="BC136" t="s">
        <v>17</v>
      </c>
      <c r="BD136">
        <v>50</v>
      </c>
      <c r="BE136" t="s">
        <v>253</v>
      </c>
    </row>
    <row r="137" spans="1:57" x14ac:dyDescent="0.45">
      <c r="A137" t="s">
        <v>87</v>
      </c>
      <c r="B137" t="s">
        <v>292</v>
      </c>
      <c r="D137" t="s">
        <v>42</v>
      </c>
      <c r="E137" t="s">
        <v>105</v>
      </c>
      <c r="F137" t="s">
        <v>292</v>
      </c>
      <c r="G137" t="s">
        <v>292</v>
      </c>
      <c r="AA137">
        <v>5.2346484308583046</v>
      </c>
      <c r="AB137">
        <v>5.2346484308583046</v>
      </c>
      <c r="AC137">
        <v>5.2346484308583046</v>
      </c>
      <c r="AD137">
        <v>6.2388995063768702</v>
      </c>
      <c r="AE137">
        <v>6.2388995063768702</v>
      </c>
      <c r="AF137">
        <v>6.2388995063768702</v>
      </c>
      <c r="AG137">
        <v>5.8074623409349497</v>
      </c>
      <c r="AH137">
        <v>5.8074623409349497</v>
      </c>
      <c r="AI137">
        <v>5.8074623409349497</v>
      </c>
      <c r="AJ137">
        <v>36.234147239999999</v>
      </c>
      <c r="AK137">
        <v>36.234147239999999</v>
      </c>
      <c r="AL137">
        <v>36.234147239999999</v>
      </c>
      <c r="AP137">
        <v>0.39406131285034196</v>
      </c>
      <c r="AQ137">
        <v>0.39406131285034196</v>
      </c>
      <c r="AR137">
        <v>0.39406131285034196</v>
      </c>
      <c r="AS137">
        <v>9.6486943124406881E-4</v>
      </c>
      <c r="AT137">
        <v>9.6486943124406881E-4</v>
      </c>
      <c r="AU137">
        <v>9.6486943124406881E-4</v>
      </c>
      <c r="BC137" t="s">
        <v>17</v>
      </c>
      <c r="BD137">
        <v>50</v>
      </c>
      <c r="BE137" t="s">
        <v>253</v>
      </c>
    </row>
    <row r="138" spans="1:57" x14ac:dyDescent="0.45">
      <c r="A138" t="s">
        <v>87</v>
      </c>
      <c r="B138" t="s">
        <v>336</v>
      </c>
      <c r="D138" t="s">
        <v>10</v>
      </c>
      <c r="E138" t="s">
        <v>89</v>
      </c>
      <c r="F138" t="s">
        <v>294</v>
      </c>
      <c r="G138" t="s">
        <v>294</v>
      </c>
      <c r="AA138">
        <v>0.23992138641433894</v>
      </c>
      <c r="AB138">
        <v>0.23992138641433894</v>
      </c>
      <c r="AC138">
        <v>0.23992138641433894</v>
      </c>
      <c r="AD138">
        <v>0.2859495607089399</v>
      </c>
      <c r="AE138">
        <v>0.2859495607089399</v>
      </c>
      <c r="AF138">
        <v>0.2859495607089399</v>
      </c>
      <c r="AG138">
        <v>0.26617535729285186</v>
      </c>
      <c r="AH138">
        <v>0.26617535729285186</v>
      </c>
      <c r="AI138">
        <v>0.26617535729285186</v>
      </c>
      <c r="AJ138">
        <v>1.6607317484999997</v>
      </c>
      <c r="AK138">
        <v>1.6607317484999997</v>
      </c>
      <c r="AL138">
        <v>1.6607317484999997</v>
      </c>
      <c r="AP138">
        <v>1.8061143505640673E-2</v>
      </c>
      <c r="AQ138">
        <v>1.8061143505640673E-2</v>
      </c>
      <c r="AR138">
        <v>1.8061143505640673E-2</v>
      </c>
      <c r="AS138">
        <v>4.422318226535314E-5</v>
      </c>
      <c r="AT138">
        <v>4.422318226535314E-5</v>
      </c>
      <c r="AU138">
        <v>4.422318226535314E-5</v>
      </c>
      <c r="BC138" t="s">
        <v>17</v>
      </c>
      <c r="BD138">
        <v>50</v>
      </c>
      <c r="BE138" t="s">
        <v>253</v>
      </c>
    </row>
    <row r="139" spans="1:57" x14ac:dyDescent="0.45">
      <c r="A139" t="s">
        <v>110</v>
      </c>
      <c r="B139" t="s">
        <v>326</v>
      </c>
      <c r="D139" t="s">
        <v>303</v>
      </c>
      <c r="E139" t="s">
        <v>115</v>
      </c>
      <c r="F139" t="s">
        <v>335</v>
      </c>
      <c r="G139" t="s">
        <v>290</v>
      </c>
      <c r="AA139">
        <v>2.6173242154291523E-2</v>
      </c>
      <c r="AB139">
        <v>2.6173242154291523E-2</v>
      </c>
      <c r="AC139">
        <v>2.6173242154291523E-2</v>
      </c>
      <c r="AD139">
        <v>3.1194497531884351E-2</v>
      </c>
      <c r="AE139">
        <v>3.1194497531884351E-2</v>
      </c>
      <c r="AF139">
        <v>3.1194497531884351E-2</v>
      </c>
      <c r="AG139">
        <v>2.9037311704674749E-2</v>
      </c>
      <c r="AH139">
        <v>2.9037311704674749E-2</v>
      </c>
      <c r="AI139">
        <v>2.9037311704674749E-2</v>
      </c>
      <c r="AJ139">
        <v>0.18117073619999999</v>
      </c>
      <c r="AK139">
        <v>0.18117073619999999</v>
      </c>
      <c r="AL139">
        <v>0.18117073619999999</v>
      </c>
      <c r="AP139">
        <v>1.9703065642517098E-3</v>
      </c>
      <c r="AQ139">
        <v>1.9703065642517098E-3</v>
      </c>
      <c r="AR139">
        <v>1.9703065642517098E-3</v>
      </c>
      <c r="AS139">
        <v>4.8243471562203438E-6</v>
      </c>
      <c r="AT139">
        <v>4.8243471562203438E-6</v>
      </c>
      <c r="AU139">
        <v>4.8243471562203438E-6</v>
      </c>
      <c r="BC139" t="s">
        <v>17</v>
      </c>
      <c r="BD139">
        <v>50</v>
      </c>
      <c r="BE139" t="s">
        <v>253</v>
      </c>
    </row>
    <row r="140" spans="1:57" x14ac:dyDescent="0.45">
      <c r="A140" t="s">
        <v>110</v>
      </c>
      <c r="B140" t="s">
        <v>326</v>
      </c>
      <c r="D140" t="s">
        <v>303</v>
      </c>
      <c r="E140" t="s">
        <v>115</v>
      </c>
      <c r="F140" t="s">
        <v>337</v>
      </c>
      <c r="G140" t="s">
        <v>270</v>
      </c>
      <c r="AA140">
        <v>3.9085374950408674E-2</v>
      </c>
      <c r="AB140">
        <v>2.7918124964577625E-2</v>
      </c>
      <c r="AC140">
        <v>6.1419874922070773E-2</v>
      </c>
      <c r="AD140">
        <v>4.65837829809473E-2</v>
      </c>
      <c r="AE140">
        <v>3.3274130700676641E-2</v>
      </c>
      <c r="AF140">
        <v>7.3203087541488604E-2</v>
      </c>
      <c r="AG140">
        <v>4.3362385478980962E-2</v>
      </c>
      <c r="AH140">
        <v>3.0973132484986399E-2</v>
      </c>
      <c r="AI140">
        <v>6.8140891466970083E-2</v>
      </c>
      <c r="AJ140">
        <v>0.27054829939199998</v>
      </c>
      <c r="AK140">
        <v>0.19324878528</v>
      </c>
      <c r="AL140">
        <v>0.42514732761599994</v>
      </c>
      <c r="AP140">
        <v>2.9423244692825539E-3</v>
      </c>
      <c r="AQ140">
        <v>2.1016603352018242E-3</v>
      </c>
      <c r="AR140">
        <v>4.6236527374440128E-3</v>
      </c>
      <c r="AS140">
        <v>7.2043584199557124E-6</v>
      </c>
      <c r="AT140">
        <v>5.1459702999683665E-6</v>
      </c>
      <c r="AU140">
        <v>1.1321134659930405E-5</v>
      </c>
      <c r="BC140" t="s">
        <v>17</v>
      </c>
      <c r="BD140">
        <v>50</v>
      </c>
      <c r="BE140" t="s">
        <v>253</v>
      </c>
    </row>
    <row r="141" spans="1:57" x14ac:dyDescent="0.45">
      <c r="A141" t="s">
        <v>110</v>
      </c>
      <c r="B141" t="s">
        <v>326</v>
      </c>
      <c r="D141" t="s">
        <v>303</v>
      </c>
      <c r="E141" t="s">
        <v>115</v>
      </c>
      <c r="F141" t="s">
        <v>338</v>
      </c>
      <c r="G141" t="s">
        <v>262</v>
      </c>
      <c r="AA141">
        <v>0.12868510725859997</v>
      </c>
      <c r="AB141">
        <v>0.12868510725859997</v>
      </c>
      <c r="AC141">
        <v>0.12868510725859997</v>
      </c>
      <c r="AD141">
        <v>0.15337294619843139</v>
      </c>
      <c r="AE141">
        <v>0.15337294619843139</v>
      </c>
      <c r="AF141">
        <v>0.15337294619843139</v>
      </c>
      <c r="AG141">
        <v>0.14276678254798419</v>
      </c>
      <c r="AH141">
        <v>0.14276678254798419</v>
      </c>
      <c r="AI141">
        <v>0.14276678254798419</v>
      </c>
      <c r="AJ141">
        <v>0.8907561196499999</v>
      </c>
      <c r="AK141">
        <v>0.8907561196499999</v>
      </c>
      <c r="AL141">
        <v>0.8907561196499999</v>
      </c>
      <c r="AP141">
        <v>9.6873406075709077E-3</v>
      </c>
      <c r="AQ141">
        <v>9.6873406075709077E-3</v>
      </c>
      <c r="AR141">
        <v>9.6873406075709077E-3</v>
      </c>
      <c r="AS141">
        <v>2.3719706851416687E-5</v>
      </c>
      <c r="AT141">
        <v>2.3719706851416687E-5</v>
      </c>
      <c r="AU141">
        <v>2.3719706851416687E-5</v>
      </c>
      <c r="BC141" t="s">
        <v>17</v>
      </c>
      <c r="BD141">
        <v>50</v>
      </c>
      <c r="BE141" t="s">
        <v>253</v>
      </c>
    </row>
    <row r="142" spans="1:57" x14ac:dyDescent="0.45">
      <c r="A142" t="s">
        <v>110</v>
      </c>
      <c r="B142" t="s">
        <v>339</v>
      </c>
      <c r="D142" t="s">
        <v>309</v>
      </c>
      <c r="E142" t="s">
        <v>114</v>
      </c>
      <c r="F142" t="s">
        <v>340</v>
      </c>
      <c r="G142" t="s">
        <v>281</v>
      </c>
      <c r="AA142">
        <v>2.6173242154291523E-2</v>
      </c>
      <c r="AB142">
        <v>2.6173242154291523E-2</v>
      </c>
      <c r="AC142">
        <v>2.6173242154291523E-2</v>
      </c>
      <c r="AD142">
        <v>3.1194497531884351E-2</v>
      </c>
      <c r="AE142">
        <v>3.1194497531884351E-2</v>
      </c>
      <c r="AF142">
        <v>3.1194497531884351E-2</v>
      </c>
      <c r="AG142">
        <v>2.9037311704674749E-2</v>
      </c>
      <c r="AH142">
        <v>2.9037311704674749E-2</v>
      </c>
      <c r="AI142">
        <v>2.9037311704674749E-2</v>
      </c>
      <c r="AJ142">
        <v>0.18117073619999999</v>
      </c>
      <c r="AK142">
        <v>0.18117073619999999</v>
      </c>
      <c r="AL142">
        <v>0.18117073619999999</v>
      </c>
      <c r="AP142">
        <v>1.9703065642517098E-3</v>
      </c>
      <c r="AQ142">
        <v>1.9703065642517098E-3</v>
      </c>
      <c r="AR142">
        <v>1.9703065642517098E-3</v>
      </c>
      <c r="AS142">
        <v>4.8243471562203438E-6</v>
      </c>
      <c r="AT142">
        <v>4.8243471562203438E-6</v>
      </c>
      <c r="AU142">
        <v>4.8243471562203438E-6</v>
      </c>
      <c r="BC142" t="s">
        <v>17</v>
      </c>
      <c r="BD142">
        <v>50</v>
      </c>
      <c r="BE142" t="s">
        <v>253</v>
      </c>
    </row>
    <row r="143" spans="1:57" x14ac:dyDescent="0.45">
      <c r="A143" t="s">
        <v>110</v>
      </c>
      <c r="B143" t="s">
        <v>339</v>
      </c>
      <c r="D143" t="s">
        <v>309</v>
      </c>
      <c r="E143" t="s">
        <v>114</v>
      </c>
      <c r="F143" t="s">
        <v>321</v>
      </c>
      <c r="G143" t="s">
        <v>256</v>
      </c>
      <c r="AA143">
        <v>1.1516226547888269</v>
      </c>
      <c r="AB143">
        <v>1.1516226547888269</v>
      </c>
      <c r="AC143">
        <v>1.1516226547888269</v>
      </c>
      <c r="AD143">
        <v>1.3725578914029115</v>
      </c>
      <c r="AE143">
        <v>1.3725578914029115</v>
      </c>
      <c r="AF143">
        <v>1.3725578914029115</v>
      </c>
      <c r="AG143">
        <v>1.2776417150056889</v>
      </c>
      <c r="AH143">
        <v>1.2776417150056889</v>
      </c>
      <c r="AI143">
        <v>1.2776417150056889</v>
      </c>
      <c r="AJ143">
        <v>7.9715123927999993</v>
      </c>
      <c r="AK143">
        <v>7.9715123927999993</v>
      </c>
      <c r="AL143">
        <v>7.9715123927999993</v>
      </c>
      <c r="AP143">
        <v>8.6693488827075241E-2</v>
      </c>
      <c r="AQ143">
        <v>8.6693488827075241E-2</v>
      </c>
      <c r="AR143">
        <v>8.6693488827075241E-2</v>
      </c>
      <c r="AS143">
        <v>2.1227127487369511E-4</v>
      </c>
      <c r="AT143">
        <v>2.1227127487369511E-4</v>
      </c>
      <c r="AU143">
        <v>2.1227127487369511E-4</v>
      </c>
      <c r="BC143" t="s">
        <v>17</v>
      </c>
      <c r="BD143">
        <v>50</v>
      </c>
      <c r="BE143" t="s">
        <v>253</v>
      </c>
    </row>
    <row r="144" spans="1:57" x14ac:dyDescent="0.45">
      <c r="A144" t="s">
        <v>110</v>
      </c>
      <c r="B144" t="s">
        <v>339</v>
      </c>
      <c r="D144" t="s">
        <v>309</v>
      </c>
      <c r="E144" t="s">
        <v>114</v>
      </c>
      <c r="F144" t="s">
        <v>341</v>
      </c>
      <c r="G144" t="s">
        <v>269</v>
      </c>
      <c r="AA144">
        <v>1.7448828102861014E-2</v>
      </c>
      <c r="AB144">
        <v>8.7244140514305072E-3</v>
      </c>
      <c r="AC144">
        <v>3.4897656205722029E-2</v>
      </c>
      <c r="AD144">
        <v>2.07963316879229E-2</v>
      </c>
      <c r="AE144">
        <v>1.039816584396145E-2</v>
      </c>
      <c r="AF144">
        <v>4.1592663375845801E-2</v>
      </c>
      <c r="AG144">
        <v>1.9358207803116499E-2</v>
      </c>
      <c r="AH144">
        <v>9.6791039015582496E-3</v>
      </c>
      <c r="AI144">
        <v>3.8716415606232998E-2</v>
      </c>
      <c r="AJ144">
        <v>0.12078049079999999</v>
      </c>
      <c r="AK144">
        <v>6.0390245399999994E-2</v>
      </c>
      <c r="AL144">
        <v>0.24156098159999997</v>
      </c>
      <c r="AP144">
        <v>1.31353770950114E-3</v>
      </c>
      <c r="AQ144">
        <v>6.5676885475056998E-4</v>
      </c>
      <c r="AR144">
        <v>2.6270754190022799E-3</v>
      </c>
      <c r="AS144">
        <v>3.2162314374802285E-6</v>
      </c>
      <c r="AT144">
        <v>1.6081157187401143E-6</v>
      </c>
      <c r="AU144">
        <v>6.4324628749604571E-6</v>
      </c>
      <c r="BC144" t="s">
        <v>17</v>
      </c>
      <c r="BD144">
        <v>50</v>
      </c>
      <c r="BE144" t="s">
        <v>253</v>
      </c>
    </row>
    <row r="145" spans="1:57" x14ac:dyDescent="0.45">
      <c r="A145" t="s">
        <v>110</v>
      </c>
      <c r="B145" t="s">
        <v>339</v>
      </c>
      <c r="D145" t="s">
        <v>309</v>
      </c>
      <c r="E145" t="s">
        <v>114</v>
      </c>
      <c r="F145" t="s">
        <v>319</v>
      </c>
      <c r="G145" t="s">
        <v>282</v>
      </c>
      <c r="AA145">
        <v>2.4428359344005422E-3</v>
      </c>
      <c r="AB145">
        <v>2.4428359344005422E-3</v>
      </c>
      <c r="AC145">
        <v>2.4428359344005422E-3</v>
      </c>
      <c r="AD145">
        <v>2.9114864363092062E-3</v>
      </c>
      <c r="AE145">
        <v>2.9114864363092062E-3</v>
      </c>
      <c r="AF145">
        <v>2.9114864363092062E-3</v>
      </c>
      <c r="AG145">
        <v>2.7101490924363101E-3</v>
      </c>
      <c r="AH145">
        <v>2.7101490924363101E-3</v>
      </c>
      <c r="AI145">
        <v>2.7101490924363101E-3</v>
      </c>
      <c r="AJ145">
        <v>1.6909268711999999E-2</v>
      </c>
      <c r="AK145">
        <v>1.6909268711999999E-2</v>
      </c>
      <c r="AL145">
        <v>1.6909268711999999E-2</v>
      </c>
      <c r="AP145">
        <v>1.8389527933015962E-4</v>
      </c>
      <c r="AQ145">
        <v>1.8389527933015962E-4</v>
      </c>
      <c r="AR145">
        <v>1.8389527933015962E-4</v>
      </c>
      <c r="AS145">
        <v>4.5027240124723203E-7</v>
      </c>
      <c r="AT145">
        <v>4.5027240124723203E-7</v>
      </c>
      <c r="AU145">
        <v>4.5027240124723203E-7</v>
      </c>
      <c r="BC145" t="s">
        <v>17</v>
      </c>
      <c r="BD145">
        <v>50</v>
      </c>
      <c r="BE145" t="s">
        <v>253</v>
      </c>
    </row>
    <row r="146" spans="1:57" x14ac:dyDescent="0.45">
      <c r="A146" t="s">
        <v>110</v>
      </c>
      <c r="B146" t="s">
        <v>339</v>
      </c>
      <c r="D146" t="s">
        <v>309</v>
      </c>
      <c r="E146" t="s">
        <v>114</v>
      </c>
      <c r="F146" t="s">
        <v>258</v>
      </c>
      <c r="G146" t="s">
        <v>258</v>
      </c>
      <c r="AA146">
        <v>4.0783145924817044</v>
      </c>
      <c r="AB146">
        <v>4.0783145924817044</v>
      </c>
      <c r="AC146">
        <v>4.0783145924817044</v>
      </c>
      <c r="AD146">
        <v>4.8607266054182192</v>
      </c>
      <c r="AE146">
        <v>4.8607266054182192</v>
      </c>
      <c r="AF146">
        <v>4.8607266054182192</v>
      </c>
      <c r="AG146">
        <v>4.5245939098224195</v>
      </c>
      <c r="AH146">
        <v>4.5245939098224195</v>
      </c>
      <c r="AI146">
        <v>4.5245939098224195</v>
      </c>
      <c r="AJ146">
        <v>28.230024114683996</v>
      </c>
      <c r="AK146">
        <v>28.230024114683996</v>
      </c>
      <c r="AL146">
        <v>28.230024114683996</v>
      </c>
      <c r="AP146">
        <v>0.30701316884170143</v>
      </c>
      <c r="AQ146">
        <v>0.30701316884170143</v>
      </c>
      <c r="AR146">
        <v>0.30701316884170143</v>
      </c>
      <c r="AS146">
        <v>7.5172977388225377E-4</v>
      </c>
      <c r="AT146">
        <v>7.5172977388225377E-4</v>
      </c>
      <c r="AU146">
        <v>7.5172977388225377E-4</v>
      </c>
      <c r="BC146" t="s">
        <v>17</v>
      </c>
      <c r="BD146">
        <v>50</v>
      </c>
      <c r="BE146" t="s">
        <v>253</v>
      </c>
    </row>
    <row r="147" spans="1:57" x14ac:dyDescent="0.45">
      <c r="A147" t="s">
        <v>110</v>
      </c>
      <c r="B147" t="s">
        <v>339</v>
      </c>
      <c r="D147" t="s">
        <v>309</v>
      </c>
      <c r="E147" t="s">
        <v>114</v>
      </c>
      <c r="F147" t="s">
        <v>322</v>
      </c>
      <c r="G147" t="s">
        <v>229</v>
      </c>
      <c r="AA147">
        <v>0.13173865217660066</v>
      </c>
      <c r="AB147">
        <v>0.13173865217660066</v>
      </c>
      <c r="AC147">
        <v>0.13173865217660066</v>
      </c>
      <c r="AD147">
        <v>0.1570123042438179</v>
      </c>
      <c r="AE147">
        <v>0.1570123042438179</v>
      </c>
      <c r="AF147">
        <v>0.1570123042438179</v>
      </c>
      <c r="AG147">
        <v>0.14615446891352957</v>
      </c>
      <c r="AH147">
        <v>0.14615446891352957</v>
      </c>
      <c r="AI147">
        <v>0.14615446891352957</v>
      </c>
      <c r="AJ147">
        <v>0.9118927055399999</v>
      </c>
      <c r="AK147">
        <v>0.9118927055399999</v>
      </c>
      <c r="AL147">
        <v>0.9118927055399999</v>
      </c>
      <c r="AP147">
        <v>9.9172097067336071E-3</v>
      </c>
      <c r="AQ147">
        <v>9.9172097067336071E-3</v>
      </c>
      <c r="AR147">
        <v>9.9172097067336071E-3</v>
      </c>
      <c r="AS147">
        <v>2.4282547352975728E-5</v>
      </c>
      <c r="AT147">
        <v>2.4282547352975728E-5</v>
      </c>
      <c r="AU147">
        <v>2.4282547352975728E-5</v>
      </c>
      <c r="BC147" t="s">
        <v>17</v>
      </c>
      <c r="BD147">
        <v>50</v>
      </c>
      <c r="BE147" t="s">
        <v>253</v>
      </c>
    </row>
    <row r="148" spans="1:57" x14ac:dyDescent="0.45">
      <c r="A148" t="s">
        <v>117</v>
      </c>
      <c r="B148" t="s">
        <v>342</v>
      </c>
      <c r="D148" t="s">
        <v>343</v>
      </c>
      <c r="E148" t="s">
        <v>119</v>
      </c>
      <c r="F148" t="s">
        <v>322</v>
      </c>
      <c r="G148" t="s">
        <v>229</v>
      </c>
      <c r="AA148">
        <v>0.13173865217660066</v>
      </c>
      <c r="AB148">
        <v>0.13173865217660066</v>
      </c>
      <c r="AC148">
        <v>0.13173865217660066</v>
      </c>
      <c r="AD148">
        <v>0.1570123042438179</v>
      </c>
      <c r="AE148">
        <v>0.1570123042438179</v>
      </c>
      <c r="AF148">
        <v>0.1570123042438179</v>
      </c>
      <c r="AG148">
        <v>0.14615446891352957</v>
      </c>
      <c r="AH148">
        <v>0.14615446891352957</v>
      </c>
      <c r="AI148">
        <v>0.14615446891352957</v>
      </c>
      <c r="AJ148">
        <v>0.9118927055399999</v>
      </c>
      <c r="AK148">
        <v>0.9118927055399999</v>
      </c>
      <c r="AL148">
        <v>0.9118927055399999</v>
      </c>
      <c r="AP148">
        <v>9.9172097067336071E-3</v>
      </c>
      <c r="AQ148">
        <v>9.9172097067336071E-3</v>
      </c>
      <c r="AR148">
        <v>9.9172097067336071E-3</v>
      </c>
      <c r="AS148">
        <v>2.4282547352975728E-5</v>
      </c>
      <c r="AT148">
        <v>2.4282547352975728E-5</v>
      </c>
      <c r="AU148">
        <v>2.4282547352975728E-5</v>
      </c>
      <c r="BC148" t="s">
        <v>17</v>
      </c>
      <c r="BD148">
        <v>50</v>
      </c>
      <c r="BE148" t="s">
        <v>253</v>
      </c>
    </row>
    <row r="149" spans="1:57" x14ac:dyDescent="0.45">
      <c r="A149" t="s">
        <v>117</v>
      </c>
      <c r="B149" t="s">
        <v>342</v>
      </c>
      <c r="D149" t="s">
        <v>343</v>
      </c>
      <c r="E149" t="s">
        <v>119</v>
      </c>
      <c r="F149" t="s">
        <v>307</v>
      </c>
      <c r="G149" t="s">
        <v>224</v>
      </c>
      <c r="AA149">
        <v>4.0783145924817044</v>
      </c>
      <c r="AB149">
        <v>4.0783145924817044</v>
      </c>
      <c r="AC149">
        <v>4.0783145924817044</v>
      </c>
      <c r="AD149">
        <v>4.8607266054182192</v>
      </c>
      <c r="AE149">
        <v>4.8607266054182192</v>
      </c>
      <c r="AF149">
        <v>4.8607266054182192</v>
      </c>
      <c r="AG149">
        <v>4.5245939098224195</v>
      </c>
      <c r="AH149">
        <v>4.5245939098224195</v>
      </c>
      <c r="AI149">
        <v>4.5245939098224195</v>
      </c>
      <c r="AJ149">
        <v>28.230024114683996</v>
      </c>
      <c r="AK149">
        <v>28.230024114683996</v>
      </c>
      <c r="AL149">
        <v>28.230024114683996</v>
      </c>
      <c r="AP149">
        <v>0.30701316884170143</v>
      </c>
      <c r="AQ149">
        <v>0.30701316884170143</v>
      </c>
      <c r="AR149">
        <v>0.30701316884170143</v>
      </c>
      <c r="AS149">
        <v>7.5172977388225377E-4</v>
      </c>
      <c r="AT149">
        <v>7.5172977388225377E-4</v>
      </c>
      <c r="AU149">
        <v>7.5172977388225377E-4</v>
      </c>
      <c r="BC149" t="s">
        <v>17</v>
      </c>
      <c r="BD149">
        <v>50</v>
      </c>
      <c r="BE149" t="s">
        <v>253</v>
      </c>
    </row>
    <row r="150" spans="1:57" x14ac:dyDescent="0.45">
      <c r="A150" t="s">
        <v>117</v>
      </c>
      <c r="B150" t="s">
        <v>342</v>
      </c>
      <c r="D150" t="s">
        <v>343</v>
      </c>
      <c r="E150" t="s">
        <v>119</v>
      </c>
      <c r="F150" t="s">
        <v>319</v>
      </c>
      <c r="G150" t="s">
        <v>282</v>
      </c>
      <c r="AA150">
        <v>2.4428359344005422E-3</v>
      </c>
      <c r="AB150">
        <v>2.4428359344005422E-3</v>
      </c>
      <c r="AC150">
        <v>2.4428359344005422E-3</v>
      </c>
      <c r="AD150">
        <v>2.9114864363092062E-3</v>
      </c>
      <c r="AE150">
        <v>2.9114864363092062E-3</v>
      </c>
      <c r="AF150">
        <v>2.9114864363092062E-3</v>
      </c>
      <c r="AG150">
        <v>2.7101490924363101E-3</v>
      </c>
      <c r="AH150">
        <v>2.7101490924363101E-3</v>
      </c>
      <c r="AI150">
        <v>2.7101490924363101E-3</v>
      </c>
      <c r="AJ150">
        <v>1.6909268711999999E-2</v>
      </c>
      <c r="AK150">
        <v>1.6909268711999999E-2</v>
      </c>
      <c r="AL150">
        <v>1.6909268711999999E-2</v>
      </c>
      <c r="AP150">
        <v>1.8389527933015962E-4</v>
      </c>
      <c r="AQ150">
        <v>1.8389527933015962E-4</v>
      </c>
      <c r="AR150">
        <v>1.8389527933015962E-4</v>
      </c>
      <c r="AS150">
        <v>4.5027240124723203E-7</v>
      </c>
      <c r="AT150">
        <v>4.5027240124723203E-7</v>
      </c>
      <c r="AU150">
        <v>4.5027240124723203E-7</v>
      </c>
      <c r="BC150" t="s">
        <v>17</v>
      </c>
      <c r="BD150">
        <v>50</v>
      </c>
      <c r="BE150" t="s">
        <v>253</v>
      </c>
    </row>
    <row r="151" spans="1:57" x14ac:dyDescent="0.45">
      <c r="A151" t="s">
        <v>117</v>
      </c>
      <c r="B151" t="s">
        <v>342</v>
      </c>
      <c r="D151" t="s">
        <v>343</v>
      </c>
      <c r="E151" t="s">
        <v>119</v>
      </c>
      <c r="F151" t="s">
        <v>344</v>
      </c>
      <c r="G151" t="s">
        <v>273</v>
      </c>
      <c r="AA151">
        <v>3.1407890585149825E-2</v>
      </c>
      <c r="AB151">
        <v>2.0938593723433218E-2</v>
      </c>
      <c r="AC151">
        <v>5.2346484308583047E-2</v>
      </c>
      <c r="AD151">
        <v>3.7433397038261221E-2</v>
      </c>
      <c r="AE151">
        <v>2.4955598025507481E-2</v>
      </c>
      <c r="AF151">
        <v>6.2388995063768701E-2</v>
      </c>
      <c r="AG151">
        <v>3.4844774045609699E-2</v>
      </c>
      <c r="AH151">
        <v>2.3229849363739799E-2</v>
      </c>
      <c r="AI151">
        <v>5.8074623409349498E-2</v>
      </c>
      <c r="AJ151">
        <v>0.21740488343999997</v>
      </c>
      <c r="AK151">
        <v>0.14493658895999997</v>
      </c>
      <c r="AL151">
        <v>0.36234147239999998</v>
      </c>
      <c r="AP151">
        <v>2.364367877102052E-3</v>
      </c>
      <c r="AQ151">
        <v>1.5762452514013678E-3</v>
      </c>
      <c r="AR151">
        <v>3.9406131285034196E-3</v>
      </c>
      <c r="AS151">
        <v>5.7892165874644118E-6</v>
      </c>
      <c r="AT151">
        <v>3.8594777249762742E-6</v>
      </c>
      <c r="AU151">
        <v>9.6486943124406877E-6</v>
      </c>
      <c r="BC151" t="s">
        <v>17</v>
      </c>
      <c r="BD151">
        <v>50</v>
      </c>
      <c r="BE151" t="s">
        <v>253</v>
      </c>
    </row>
    <row r="152" spans="1:57" x14ac:dyDescent="0.45">
      <c r="A152" t="s">
        <v>117</v>
      </c>
      <c r="B152" t="s">
        <v>342</v>
      </c>
      <c r="D152" t="s">
        <v>343</v>
      </c>
      <c r="E152" t="s">
        <v>119</v>
      </c>
      <c r="F152" t="s">
        <v>345</v>
      </c>
      <c r="G152" t="s">
        <v>280</v>
      </c>
      <c r="AA152">
        <v>5.0165380795725419E-2</v>
      </c>
      <c r="AB152">
        <v>5.0165380795725419E-2</v>
      </c>
      <c r="AC152">
        <v>5.0165380795725419E-2</v>
      </c>
      <c r="AD152">
        <v>5.978945360277834E-2</v>
      </c>
      <c r="AE152">
        <v>5.978945360277834E-2</v>
      </c>
      <c r="AF152">
        <v>5.978945360277834E-2</v>
      </c>
      <c r="AG152">
        <v>5.5654847433959938E-2</v>
      </c>
      <c r="AH152">
        <v>5.5654847433959938E-2</v>
      </c>
      <c r="AI152">
        <v>5.5654847433959938E-2</v>
      </c>
      <c r="AJ152">
        <v>0.34724391104999996</v>
      </c>
      <c r="AK152">
        <v>0.34724391104999996</v>
      </c>
      <c r="AL152">
        <v>0.34724391104999996</v>
      </c>
      <c r="AP152">
        <v>3.7764209148157773E-3</v>
      </c>
      <c r="AQ152">
        <v>3.7764209148157773E-3</v>
      </c>
      <c r="AR152">
        <v>3.7764209148157773E-3</v>
      </c>
      <c r="AS152">
        <v>9.2466653827556575E-6</v>
      </c>
      <c r="AT152">
        <v>9.2466653827556575E-6</v>
      </c>
      <c r="AU152">
        <v>9.2466653827556575E-6</v>
      </c>
      <c r="BC152" t="s">
        <v>17</v>
      </c>
      <c r="BD152">
        <v>50</v>
      </c>
      <c r="BE152" t="s">
        <v>253</v>
      </c>
    </row>
    <row r="153" spans="1:57" x14ac:dyDescent="0.45">
      <c r="A153" t="s">
        <v>117</v>
      </c>
      <c r="B153" t="s">
        <v>342</v>
      </c>
      <c r="D153" t="s">
        <v>343</v>
      </c>
      <c r="E153" t="s">
        <v>119</v>
      </c>
      <c r="F153" t="s">
        <v>346</v>
      </c>
      <c r="G153" t="s">
        <v>287</v>
      </c>
      <c r="AA153">
        <v>0.64560663980585753</v>
      </c>
      <c r="AB153">
        <v>0.64560663980585753</v>
      </c>
      <c r="AC153">
        <v>0.64560663980585753</v>
      </c>
      <c r="AD153">
        <v>0.7694642724531473</v>
      </c>
      <c r="AE153">
        <v>0.7694642724531473</v>
      </c>
      <c r="AF153">
        <v>0.7694642724531473</v>
      </c>
      <c r="AG153">
        <v>0.71625368871531048</v>
      </c>
      <c r="AH153">
        <v>0.71625368871531048</v>
      </c>
      <c r="AI153">
        <v>0.71625368871531048</v>
      </c>
      <c r="AJ153">
        <v>4.4688781595999991</v>
      </c>
      <c r="AK153">
        <v>4.4688781595999991</v>
      </c>
      <c r="AL153">
        <v>4.4688781595999991</v>
      </c>
      <c r="AP153">
        <v>4.8600895251542181E-2</v>
      </c>
      <c r="AQ153">
        <v>4.8600895251542181E-2</v>
      </c>
      <c r="AR153">
        <v>4.8600895251542181E-2</v>
      </c>
      <c r="AS153">
        <v>1.1900056318676848E-4</v>
      </c>
      <c r="AT153">
        <v>1.1900056318676848E-4</v>
      </c>
      <c r="AU153">
        <v>1.1900056318676848E-4</v>
      </c>
      <c r="BC153" t="s">
        <v>17</v>
      </c>
      <c r="BD153">
        <v>50</v>
      </c>
      <c r="BE153" t="s">
        <v>253</v>
      </c>
    </row>
    <row r="154" spans="1:57" x14ac:dyDescent="0.45">
      <c r="A154" t="s">
        <v>117</v>
      </c>
      <c r="B154" t="s">
        <v>347</v>
      </c>
      <c r="D154" t="s">
        <v>312</v>
      </c>
      <c r="E154" t="s">
        <v>118</v>
      </c>
      <c r="F154" t="s">
        <v>319</v>
      </c>
      <c r="G154" t="s">
        <v>282</v>
      </c>
      <c r="AA154">
        <v>2.4428359344005422E-3</v>
      </c>
      <c r="AB154">
        <v>2.4428359344005422E-3</v>
      </c>
      <c r="AC154">
        <v>2.4428359344005422E-3</v>
      </c>
      <c r="AD154">
        <v>2.9114864363092062E-3</v>
      </c>
      <c r="AE154">
        <v>2.9114864363092062E-3</v>
      </c>
      <c r="AF154">
        <v>2.9114864363092062E-3</v>
      </c>
      <c r="AG154">
        <v>2.7101490924363101E-3</v>
      </c>
      <c r="AH154">
        <v>2.7101490924363101E-3</v>
      </c>
      <c r="AI154">
        <v>2.7101490924363101E-3</v>
      </c>
      <c r="AJ154">
        <v>1.6909268711999999E-2</v>
      </c>
      <c r="AK154">
        <v>1.6909268711999999E-2</v>
      </c>
      <c r="AL154">
        <v>1.6909268711999999E-2</v>
      </c>
      <c r="AP154">
        <v>1.8389527933015962E-4</v>
      </c>
      <c r="AQ154">
        <v>1.8389527933015962E-4</v>
      </c>
      <c r="AR154">
        <v>1.8389527933015962E-4</v>
      </c>
      <c r="AS154">
        <v>4.5027240124723203E-7</v>
      </c>
      <c r="AT154">
        <v>4.5027240124723203E-7</v>
      </c>
      <c r="AU154">
        <v>4.5027240124723203E-7</v>
      </c>
      <c r="BC154" t="s">
        <v>17</v>
      </c>
      <c r="BD154">
        <v>50</v>
      </c>
      <c r="BE154" t="s">
        <v>253</v>
      </c>
    </row>
    <row r="155" spans="1:57" x14ac:dyDescent="0.45">
      <c r="A155" t="s">
        <v>117</v>
      </c>
      <c r="B155" t="s">
        <v>347</v>
      </c>
      <c r="D155" t="s">
        <v>312</v>
      </c>
      <c r="E155" t="s">
        <v>118</v>
      </c>
      <c r="F155" t="s">
        <v>243</v>
      </c>
      <c r="G155" t="s">
        <v>243</v>
      </c>
      <c r="AA155">
        <v>1.7187095681318099E-2</v>
      </c>
      <c r="AB155">
        <v>1.7187095681318099E-2</v>
      </c>
      <c r="AC155">
        <v>1.7187095681318099E-2</v>
      </c>
      <c r="AD155">
        <v>2.0484386712604056E-2</v>
      </c>
      <c r="AE155">
        <v>2.0484386712604056E-2</v>
      </c>
      <c r="AF155">
        <v>2.0484386712604056E-2</v>
      </c>
      <c r="AG155">
        <v>1.9067834686069752E-2</v>
      </c>
      <c r="AH155">
        <v>1.9067834686069752E-2</v>
      </c>
      <c r="AI155">
        <v>1.9067834686069752E-2</v>
      </c>
      <c r="AJ155">
        <v>0.11896878343799999</v>
      </c>
      <c r="AK155">
        <v>0.11896878343799999</v>
      </c>
      <c r="AL155">
        <v>0.11896878343799999</v>
      </c>
      <c r="AP155">
        <v>1.2938346438586229E-3</v>
      </c>
      <c r="AQ155">
        <v>1.2938346438586229E-3</v>
      </c>
      <c r="AR155">
        <v>1.2938346438586229E-3</v>
      </c>
      <c r="AS155">
        <v>3.1679879659180256E-6</v>
      </c>
      <c r="AT155">
        <v>3.1679879659180256E-6</v>
      </c>
      <c r="AU155">
        <v>3.1679879659180256E-6</v>
      </c>
      <c r="BC155" t="s">
        <v>17</v>
      </c>
      <c r="BD155">
        <v>50</v>
      </c>
      <c r="BE155" t="s">
        <v>253</v>
      </c>
    </row>
    <row r="156" spans="1:57" x14ac:dyDescent="0.45">
      <c r="A156" t="s">
        <v>117</v>
      </c>
      <c r="B156" t="s">
        <v>347</v>
      </c>
      <c r="D156" t="s">
        <v>312</v>
      </c>
      <c r="E156" t="s">
        <v>118</v>
      </c>
      <c r="F156" t="s">
        <v>348</v>
      </c>
      <c r="G156" t="s">
        <v>227</v>
      </c>
      <c r="AA156">
        <v>4.6762859315667524E-2</v>
      </c>
      <c r="AB156">
        <v>3.1233402304121215E-2</v>
      </c>
      <c r="AC156">
        <v>7.7996261619788732E-2</v>
      </c>
      <c r="AD156">
        <v>5.5734168923633379E-2</v>
      </c>
      <c r="AE156">
        <v>3.7225433721381991E-2</v>
      </c>
      <c r="AF156">
        <v>9.2959602645015363E-2</v>
      </c>
      <c r="AG156">
        <v>5.1879996912352219E-2</v>
      </c>
      <c r="AH156">
        <v>3.4651191967578536E-2</v>
      </c>
      <c r="AI156">
        <v>8.6531188879930748E-2</v>
      </c>
      <c r="AJ156">
        <v>0.32369171534399999</v>
      </c>
      <c r="AK156">
        <v>0.21619707853199999</v>
      </c>
      <c r="AL156">
        <v>0.53988879387599986</v>
      </c>
      <c r="AP156">
        <v>3.5202810614630552E-3</v>
      </c>
      <c r="AQ156">
        <v>2.3512325000070405E-3</v>
      </c>
      <c r="AR156">
        <v>5.8715135614700953E-3</v>
      </c>
      <c r="AS156">
        <v>8.6195002524470139E-6</v>
      </c>
      <c r="AT156">
        <v>5.7570542730896093E-6</v>
      </c>
      <c r="AU156">
        <v>1.4376554525536621E-5</v>
      </c>
      <c r="BC156" t="s">
        <v>17</v>
      </c>
      <c r="BD156">
        <v>50</v>
      </c>
      <c r="BE156" t="s">
        <v>253</v>
      </c>
    </row>
    <row r="157" spans="1:57" x14ac:dyDescent="0.45">
      <c r="A157" t="s">
        <v>117</v>
      </c>
      <c r="B157" t="s">
        <v>347</v>
      </c>
      <c r="D157" t="s">
        <v>312</v>
      </c>
      <c r="E157" t="s">
        <v>118</v>
      </c>
      <c r="F157" t="s">
        <v>349</v>
      </c>
      <c r="G157" t="s">
        <v>284</v>
      </c>
      <c r="AA157">
        <v>1.3086621077145761E-3</v>
      </c>
      <c r="AB157">
        <v>1.3086621077145761E-3</v>
      </c>
      <c r="AC157">
        <v>1.3086621077145761E-3</v>
      </c>
      <c r="AD157">
        <v>1.5597248765942175E-3</v>
      </c>
      <c r="AE157">
        <v>1.5597248765942175E-3</v>
      </c>
      <c r="AF157">
        <v>1.5597248765942175E-3</v>
      </c>
      <c r="AG157">
        <v>1.4518655852337374E-3</v>
      </c>
      <c r="AH157">
        <v>1.4518655852337374E-3</v>
      </c>
      <c r="AI157">
        <v>1.4518655852337374E-3</v>
      </c>
      <c r="AJ157">
        <v>9.0585368099999983E-3</v>
      </c>
      <c r="AK157">
        <v>9.0585368099999983E-3</v>
      </c>
      <c r="AL157">
        <v>9.0585368099999983E-3</v>
      </c>
      <c r="AP157">
        <v>9.8515328212585488E-5</v>
      </c>
      <c r="AQ157">
        <v>9.8515328212585488E-5</v>
      </c>
      <c r="AR157">
        <v>9.8515328212585488E-5</v>
      </c>
      <c r="AS157">
        <v>2.4121735781101714E-7</v>
      </c>
      <c r="AT157">
        <v>2.4121735781101714E-7</v>
      </c>
      <c r="AU157">
        <v>2.4121735781101714E-7</v>
      </c>
      <c r="BC157" t="s">
        <v>17</v>
      </c>
      <c r="BD157">
        <v>50</v>
      </c>
      <c r="BE157" t="s">
        <v>253</v>
      </c>
    </row>
    <row r="158" spans="1:57" x14ac:dyDescent="0.45">
      <c r="A158" t="s">
        <v>117</v>
      </c>
      <c r="B158" t="s">
        <v>347</v>
      </c>
      <c r="D158" t="s">
        <v>312</v>
      </c>
      <c r="E158" t="s">
        <v>118</v>
      </c>
      <c r="F158" t="s">
        <v>350</v>
      </c>
      <c r="G158" t="s">
        <v>283</v>
      </c>
      <c r="AA158">
        <v>0.39259863231437281</v>
      </c>
      <c r="AB158">
        <v>0.39259863231437281</v>
      </c>
      <c r="AC158">
        <v>0.39259863231437281</v>
      </c>
      <c r="AD158">
        <v>0.46791746297826525</v>
      </c>
      <c r="AE158">
        <v>0.46791746297826525</v>
      </c>
      <c r="AF158">
        <v>0.46791746297826525</v>
      </c>
      <c r="AG158">
        <v>0.43555967557012121</v>
      </c>
      <c r="AH158">
        <v>0.43555967557012121</v>
      </c>
      <c r="AI158">
        <v>0.43555967557012121</v>
      </c>
      <c r="AJ158">
        <v>2.7175610429999999</v>
      </c>
      <c r="AK158">
        <v>2.7175610429999999</v>
      </c>
      <c r="AL158">
        <v>2.7175610429999999</v>
      </c>
      <c r="AP158">
        <v>2.9554598463775648E-2</v>
      </c>
      <c r="AQ158">
        <v>2.9554598463775648E-2</v>
      </c>
      <c r="AR158">
        <v>2.9554598463775648E-2</v>
      </c>
      <c r="AS158">
        <v>7.2365207343305139E-5</v>
      </c>
      <c r="AT158">
        <v>7.2365207343305139E-5</v>
      </c>
      <c r="AU158">
        <v>7.2365207343305139E-5</v>
      </c>
      <c r="BC158" t="s">
        <v>17</v>
      </c>
      <c r="BD158">
        <v>50</v>
      </c>
      <c r="BE158" t="s">
        <v>253</v>
      </c>
    </row>
    <row r="159" spans="1:57" x14ac:dyDescent="0.45">
      <c r="A159" t="s">
        <v>87</v>
      </c>
      <c r="B159" t="s">
        <v>292</v>
      </c>
      <c r="D159" t="s">
        <v>42</v>
      </c>
      <c r="E159" t="s">
        <v>105</v>
      </c>
      <c r="F159" t="s">
        <v>292</v>
      </c>
      <c r="G159" t="s">
        <v>272</v>
      </c>
      <c r="AA159">
        <v>0.13156416389557204</v>
      </c>
      <c r="AB159">
        <v>7.89559471654461E-2</v>
      </c>
      <c r="AC159">
        <v>0.23678059735582396</v>
      </c>
      <c r="AD159">
        <v>0.15680434092693868</v>
      </c>
      <c r="AE159">
        <v>9.410340088785113E-2</v>
      </c>
      <c r="AF159">
        <v>0.28220622100511378</v>
      </c>
      <c r="AG159">
        <v>0.1459608868354984</v>
      </c>
      <c r="AH159">
        <v>8.759589030910217E-2</v>
      </c>
      <c r="AI159">
        <v>0.26269087988829087</v>
      </c>
      <c r="AJ159">
        <v>0.91068490063199992</v>
      </c>
      <c r="AK159">
        <v>0.54653172087000002</v>
      </c>
      <c r="AL159">
        <v>1.6389912601559999</v>
      </c>
      <c r="AP159">
        <v>9.9040743296385948E-3</v>
      </c>
      <c r="AQ159">
        <v>5.9437581354926591E-3</v>
      </c>
      <c r="AR159">
        <v>1.7824706717930471E-2</v>
      </c>
      <c r="AS159">
        <v>2.4250385038600924E-5</v>
      </c>
      <c r="AT159">
        <v>1.4553447254598038E-5</v>
      </c>
      <c r="AU159">
        <v>4.3644260606606706E-5</v>
      </c>
      <c r="BC159" t="s">
        <v>17</v>
      </c>
      <c r="BD159">
        <v>50</v>
      </c>
      <c r="BE159" t="s">
        <v>253</v>
      </c>
    </row>
    <row r="160" spans="1:57" x14ac:dyDescent="0.45">
      <c r="A160" t="s">
        <v>87</v>
      </c>
      <c r="B160" t="s">
        <v>292</v>
      </c>
      <c r="D160" t="s">
        <v>42</v>
      </c>
      <c r="E160" t="s">
        <v>105</v>
      </c>
      <c r="F160" t="s">
        <v>292</v>
      </c>
      <c r="G160" t="s">
        <v>254</v>
      </c>
      <c r="AA160">
        <v>2.6173242154291519E-4</v>
      </c>
      <c r="AB160">
        <v>2.6173242154291519E-4</v>
      </c>
      <c r="AC160">
        <v>2.6173242154291519E-4</v>
      </c>
      <c r="AD160">
        <v>3.1194497531884352E-4</v>
      </c>
      <c r="AE160">
        <v>3.1194497531884352E-4</v>
      </c>
      <c r="AF160">
        <v>3.1194497531884352E-4</v>
      </c>
      <c r="AG160">
        <v>2.9037311704674748E-4</v>
      </c>
      <c r="AH160">
        <v>2.9037311704674748E-4</v>
      </c>
      <c r="AI160">
        <v>2.9037311704674748E-4</v>
      </c>
      <c r="AJ160">
        <v>1.8117073619999997E-3</v>
      </c>
      <c r="AK160">
        <v>1.8117073619999997E-3</v>
      </c>
      <c r="AL160">
        <v>1.8117073619999997E-3</v>
      </c>
      <c r="AP160">
        <v>1.9703065642517098E-5</v>
      </c>
      <c r="AQ160">
        <v>1.9703065642517098E-5</v>
      </c>
      <c r="AR160">
        <v>1.9703065642517098E-5</v>
      </c>
      <c r="AS160">
        <v>4.8243471562203427E-8</v>
      </c>
      <c r="AT160">
        <v>4.8243471562203427E-8</v>
      </c>
      <c r="AU160">
        <v>4.8243471562203427E-8</v>
      </c>
      <c r="BC160" t="s">
        <v>17</v>
      </c>
      <c r="BD160">
        <v>50</v>
      </c>
      <c r="BE160" t="s">
        <v>253</v>
      </c>
    </row>
    <row r="161" spans="1:57" x14ac:dyDescent="0.45">
      <c r="A161" t="s">
        <v>87</v>
      </c>
      <c r="B161" t="s">
        <v>222</v>
      </c>
      <c r="D161" t="s">
        <v>223</v>
      </c>
      <c r="E161" t="s">
        <v>106</v>
      </c>
      <c r="G161" t="s">
        <v>224</v>
      </c>
      <c r="AA161">
        <v>6.1768851484127989</v>
      </c>
      <c r="AB161">
        <v>6.1768851484127989</v>
      </c>
      <c r="AC161">
        <v>6.1768851484127989</v>
      </c>
      <c r="AD161">
        <v>7.3619014175247068</v>
      </c>
      <c r="AE161">
        <v>7.3619014175247068</v>
      </c>
      <c r="AF161">
        <v>7.3619014175247068</v>
      </c>
      <c r="AG161">
        <v>6.8528055623032404</v>
      </c>
      <c r="AH161">
        <v>6.8528055623032404</v>
      </c>
      <c r="AI161">
        <v>6.8528055623032404</v>
      </c>
      <c r="AJ161">
        <v>42.756293743199997</v>
      </c>
      <c r="AK161">
        <v>42.756293743199997</v>
      </c>
      <c r="AL161">
        <v>42.756293743199997</v>
      </c>
      <c r="AP161">
        <v>0.46499234916340354</v>
      </c>
      <c r="AQ161">
        <v>0.46499234916340354</v>
      </c>
      <c r="AR161">
        <v>0.46499234916340354</v>
      </c>
      <c r="AS161">
        <v>1.1385459288680011E-3</v>
      </c>
      <c r="AT161">
        <v>1.1385459288680011E-3</v>
      </c>
      <c r="AU161">
        <v>1.1385459288680011E-3</v>
      </c>
      <c r="AW161" t="s">
        <v>225</v>
      </c>
      <c r="BC161" t="s">
        <v>17</v>
      </c>
      <c r="BD161">
        <v>50</v>
      </c>
      <c r="BE161" t="s">
        <v>253</v>
      </c>
    </row>
    <row r="162" spans="1:57" x14ac:dyDescent="0.45">
      <c r="A162" t="s">
        <v>123</v>
      </c>
      <c r="B162" t="s">
        <v>237</v>
      </c>
      <c r="D162" t="s">
        <v>238</v>
      </c>
      <c r="E162" t="s">
        <v>124</v>
      </c>
      <c r="F162" t="s">
        <v>239</v>
      </c>
      <c r="G162" t="s">
        <v>240</v>
      </c>
      <c r="AA162">
        <v>0.87244140514305069</v>
      </c>
      <c r="AB162">
        <v>0.87244140514305069</v>
      </c>
      <c r="AC162">
        <v>0.87244140514305069</v>
      </c>
      <c r="AD162">
        <v>1.0398165843961451</v>
      </c>
      <c r="AE162">
        <v>1.0398165843961451</v>
      </c>
      <c r="AF162">
        <v>1.0398165843961451</v>
      </c>
      <c r="AG162">
        <v>0.96791039015582492</v>
      </c>
      <c r="AH162">
        <v>0.96791039015582492</v>
      </c>
      <c r="AI162">
        <v>0.96791039015582492</v>
      </c>
      <c r="AJ162">
        <v>6.0390245399999998</v>
      </c>
      <c r="AK162">
        <v>6.0390245399999998</v>
      </c>
      <c r="AL162">
        <v>6.0390245399999998</v>
      </c>
      <c r="AP162">
        <v>6.5676885475056998E-2</v>
      </c>
      <c r="AQ162">
        <v>6.5676885475056998E-2</v>
      </c>
      <c r="AR162">
        <v>6.5676885475056998E-2</v>
      </c>
      <c r="AS162">
        <v>1.6081157187401146E-4</v>
      </c>
      <c r="AT162">
        <v>1.6081157187401146E-4</v>
      </c>
      <c r="AU162">
        <v>1.6081157187401146E-4</v>
      </c>
      <c r="AW162" t="s">
        <v>225</v>
      </c>
      <c r="BC162" t="s">
        <v>17</v>
      </c>
      <c r="BD162">
        <v>50</v>
      </c>
      <c r="BE162" t="s">
        <v>253</v>
      </c>
    </row>
    <row r="163" spans="1:57" x14ac:dyDescent="0.45">
      <c r="A163" t="s">
        <v>87</v>
      </c>
      <c r="B163" t="s">
        <v>222</v>
      </c>
      <c r="D163" t="s">
        <v>223</v>
      </c>
      <c r="E163" t="s">
        <v>106</v>
      </c>
      <c r="G163" t="s">
        <v>227</v>
      </c>
      <c r="AA163">
        <v>4.0306792917608941E-2</v>
      </c>
      <c r="AB163">
        <v>2.4253871062976808E-2</v>
      </c>
      <c r="AC163">
        <v>7.2587124907901826E-2</v>
      </c>
      <c r="AD163">
        <v>4.8039526199101901E-2</v>
      </c>
      <c r="AE163">
        <v>2.8906901046212831E-2</v>
      </c>
      <c r="AF163">
        <v>8.6512739821759263E-2</v>
      </c>
      <c r="AG163">
        <v>4.4717460025199114E-2</v>
      </c>
      <c r="AH163">
        <v>2.6907908846331933E-2</v>
      </c>
      <c r="AI163">
        <v>8.0530144460964639E-2</v>
      </c>
      <c r="AJ163">
        <v>0.279002933748</v>
      </c>
      <c r="AK163">
        <v>0.16788488221199996</v>
      </c>
      <c r="AL163">
        <v>0.50244684172799992</v>
      </c>
      <c r="AP163">
        <v>3.0342721089476332E-3</v>
      </c>
      <c r="AQ163">
        <v>1.8258174162065844E-3</v>
      </c>
      <c r="AR163">
        <v>5.4643168715247424E-3</v>
      </c>
      <c r="AS163">
        <v>7.4294946205793283E-6</v>
      </c>
      <c r="AT163">
        <v>4.470561698097517E-6</v>
      </c>
      <c r="AU163">
        <v>1.3379522779917751E-5</v>
      </c>
      <c r="AW163" t="s">
        <v>228</v>
      </c>
      <c r="BC163" t="s">
        <v>17</v>
      </c>
      <c r="BD163">
        <v>50</v>
      </c>
      <c r="BE163" t="s">
        <v>253</v>
      </c>
    </row>
    <row r="164" spans="1:57" x14ac:dyDescent="0.45">
      <c r="A164" t="s">
        <v>87</v>
      </c>
      <c r="B164" t="s">
        <v>222</v>
      </c>
      <c r="D164" t="s">
        <v>230</v>
      </c>
      <c r="E164" t="s">
        <v>109</v>
      </c>
      <c r="G164" t="s">
        <v>227</v>
      </c>
      <c r="AA164">
        <v>4.0306792917608941E-2</v>
      </c>
      <c r="AB164">
        <v>2.4253871062976808E-2</v>
      </c>
      <c r="AC164">
        <v>7.2587124907901826E-2</v>
      </c>
      <c r="AD164">
        <v>4.8039526199101901E-2</v>
      </c>
      <c r="AE164">
        <v>2.8906901046212831E-2</v>
      </c>
      <c r="AF164">
        <v>8.6512739821759263E-2</v>
      </c>
      <c r="AG164">
        <v>4.4717460025199114E-2</v>
      </c>
      <c r="AH164">
        <v>2.6907908846331933E-2</v>
      </c>
      <c r="AI164">
        <v>8.0530144460964639E-2</v>
      </c>
      <c r="AJ164">
        <v>0.279002933748</v>
      </c>
      <c r="AK164">
        <v>0.16788488221199996</v>
      </c>
      <c r="AL164">
        <v>0.50244684172799992</v>
      </c>
      <c r="AP164">
        <v>3.0342721089476332E-3</v>
      </c>
      <c r="AQ164">
        <v>1.8258174162065844E-3</v>
      </c>
      <c r="AR164">
        <v>5.4643168715247424E-3</v>
      </c>
      <c r="AS164">
        <v>7.4294946205793283E-6</v>
      </c>
      <c r="AT164">
        <v>4.470561698097517E-6</v>
      </c>
      <c r="AU164">
        <v>1.3379522779917751E-5</v>
      </c>
      <c r="AW164" t="s">
        <v>228</v>
      </c>
      <c r="BC164" t="s">
        <v>17</v>
      </c>
      <c r="BD164">
        <v>50</v>
      </c>
      <c r="BE164" t="s">
        <v>253</v>
      </c>
    </row>
    <row r="165" spans="1:57" x14ac:dyDescent="0.45">
      <c r="A165" t="s">
        <v>123</v>
      </c>
      <c r="B165" t="s">
        <v>237</v>
      </c>
      <c r="D165" t="s">
        <v>238</v>
      </c>
      <c r="E165" t="s">
        <v>124</v>
      </c>
      <c r="F165" t="s">
        <v>241</v>
      </c>
      <c r="G165" t="s">
        <v>227</v>
      </c>
      <c r="AA165">
        <v>4.0306792917608941E-2</v>
      </c>
      <c r="AB165">
        <v>2.4253871062976808E-2</v>
      </c>
      <c r="AC165">
        <v>7.2587124907901826E-2</v>
      </c>
      <c r="AD165">
        <v>4.8039526199101901E-2</v>
      </c>
      <c r="AE165">
        <v>2.8906901046212831E-2</v>
      </c>
      <c r="AF165">
        <v>8.6512739821759263E-2</v>
      </c>
      <c r="AG165">
        <v>4.4717460025199114E-2</v>
      </c>
      <c r="AH165">
        <v>2.6907908846331933E-2</v>
      </c>
      <c r="AI165">
        <v>8.0530144460964639E-2</v>
      </c>
      <c r="AJ165">
        <v>0.279002933748</v>
      </c>
      <c r="AK165">
        <v>0.16788488221199996</v>
      </c>
      <c r="AL165">
        <v>0.50244684172799992</v>
      </c>
      <c r="AP165">
        <v>3.0342721089476332E-3</v>
      </c>
      <c r="AQ165">
        <v>1.8258174162065844E-3</v>
      </c>
      <c r="AR165">
        <v>5.4643168715247424E-3</v>
      </c>
      <c r="AS165">
        <v>7.4294946205793283E-6</v>
      </c>
      <c r="AT165">
        <v>4.470561698097517E-6</v>
      </c>
      <c r="AU165">
        <v>1.3379522779917751E-5</v>
      </c>
      <c r="AW165" t="s">
        <v>228</v>
      </c>
      <c r="BC165" t="s">
        <v>17</v>
      </c>
      <c r="BD165">
        <v>50</v>
      </c>
      <c r="BE165" t="s">
        <v>253</v>
      </c>
    </row>
    <row r="166" spans="1:57" x14ac:dyDescent="0.45">
      <c r="A166" t="s">
        <v>123</v>
      </c>
      <c r="B166" t="s">
        <v>237</v>
      </c>
      <c r="D166" t="s">
        <v>238</v>
      </c>
      <c r="E166" t="s">
        <v>124</v>
      </c>
      <c r="F166" t="s">
        <v>242</v>
      </c>
      <c r="G166" t="s">
        <v>243</v>
      </c>
      <c r="AA166">
        <v>3.2280331990292878E-2</v>
      </c>
      <c r="AB166">
        <v>3.2280331990292878E-2</v>
      </c>
      <c r="AC166">
        <v>3.2280331990292878E-2</v>
      </c>
      <c r="AD166">
        <v>3.8473213622657369E-2</v>
      </c>
      <c r="AE166">
        <v>3.8473213622657369E-2</v>
      </c>
      <c r="AF166">
        <v>3.8473213622657369E-2</v>
      </c>
      <c r="AG166">
        <v>3.5812684435765525E-2</v>
      </c>
      <c r="AH166">
        <v>3.5812684435765525E-2</v>
      </c>
      <c r="AI166">
        <v>3.5812684435765525E-2</v>
      </c>
      <c r="AJ166">
        <v>0.22344390797999999</v>
      </c>
      <c r="AK166">
        <v>0.22344390797999999</v>
      </c>
      <c r="AL166">
        <v>0.22344390797999999</v>
      </c>
      <c r="AP166">
        <v>2.4300447625771092E-3</v>
      </c>
      <c r="AQ166">
        <v>2.4300447625771092E-3</v>
      </c>
      <c r="AR166">
        <v>2.4300447625771092E-3</v>
      </c>
      <c r="AS166">
        <v>5.9500281593384235E-6</v>
      </c>
      <c r="AT166">
        <v>5.9500281593384235E-6</v>
      </c>
      <c r="AU166">
        <v>5.9500281593384235E-6</v>
      </c>
      <c r="AW166" t="s">
        <v>225</v>
      </c>
      <c r="BC166" t="s">
        <v>17</v>
      </c>
      <c r="BD166">
        <v>50</v>
      </c>
      <c r="BE166" t="s">
        <v>253</v>
      </c>
    </row>
    <row r="167" spans="1:57" x14ac:dyDescent="0.45">
      <c r="A167" t="s">
        <v>87</v>
      </c>
      <c r="B167" t="s">
        <v>222</v>
      </c>
      <c r="D167" t="s">
        <v>223</v>
      </c>
      <c r="E167" t="s">
        <v>106</v>
      </c>
      <c r="G167" t="s">
        <v>229</v>
      </c>
      <c r="AA167">
        <v>0.26173242154291521</v>
      </c>
      <c r="AB167">
        <v>0.26173242154291521</v>
      </c>
      <c r="AC167">
        <v>0.26173242154291521</v>
      </c>
      <c r="AD167">
        <v>0.31194497531884352</v>
      </c>
      <c r="AE167">
        <v>0.31194497531884352</v>
      </c>
      <c r="AF167">
        <v>0.31194497531884352</v>
      </c>
      <c r="AG167">
        <v>0.29037311704674751</v>
      </c>
      <c r="AH167">
        <v>0.29037311704674751</v>
      </c>
      <c r="AI167">
        <v>0.29037311704674751</v>
      </c>
      <c r="AJ167">
        <v>1.8117073619999997</v>
      </c>
      <c r="AK167">
        <v>1.8117073619999997</v>
      </c>
      <c r="AL167">
        <v>1.8117073619999997</v>
      </c>
      <c r="AP167">
        <v>1.9703065642517101E-2</v>
      </c>
      <c r="AQ167">
        <v>1.9703065642517101E-2</v>
      </c>
      <c r="AR167">
        <v>1.9703065642517101E-2</v>
      </c>
      <c r="AS167">
        <v>4.8243471562203435E-5</v>
      </c>
      <c r="AT167">
        <v>4.8243471562203435E-5</v>
      </c>
      <c r="AU167">
        <v>4.8243471562203435E-5</v>
      </c>
      <c r="AW167" t="s">
        <v>225</v>
      </c>
      <c r="BC167" t="s">
        <v>17</v>
      </c>
      <c r="BD167">
        <v>50</v>
      </c>
      <c r="BE167" t="s">
        <v>253</v>
      </c>
    </row>
    <row r="168" spans="1:57" x14ac:dyDescent="0.45">
      <c r="A168" t="s">
        <v>87</v>
      </c>
      <c r="B168" t="s">
        <v>222</v>
      </c>
      <c r="D168" t="s">
        <v>230</v>
      </c>
      <c r="E168" t="s">
        <v>109</v>
      </c>
      <c r="G168" t="s">
        <v>229</v>
      </c>
      <c r="AA168">
        <v>0.26173242154291521</v>
      </c>
      <c r="AB168">
        <v>0.26173242154291521</v>
      </c>
      <c r="AC168">
        <v>0.26173242154291521</v>
      </c>
      <c r="AD168">
        <v>0.31194497531884352</v>
      </c>
      <c r="AE168">
        <v>0.31194497531884352</v>
      </c>
      <c r="AF168">
        <v>0.31194497531884352</v>
      </c>
      <c r="AG168">
        <v>0.29037311704674751</v>
      </c>
      <c r="AH168">
        <v>0.29037311704674751</v>
      </c>
      <c r="AI168">
        <v>0.29037311704674751</v>
      </c>
      <c r="AJ168">
        <v>1.8117073619999997</v>
      </c>
      <c r="AK168">
        <v>1.8117073619999997</v>
      </c>
      <c r="AL168">
        <v>1.8117073619999997</v>
      </c>
      <c r="AP168">
        <v>1.9703065642517101E-2</v>
      </c>
      <c r="AQ168">
        <v>1.9703065642517101E-2</v>
      </c>
      <c r="AR168">
        <v>1.9703065642517101E-2</v>
      </c>
      <c r="AS168">
        <v>4.8243471562203435E-5</v>
      </c>
      <c r="AT168">
        <v>4.8243471562203435E-5</v>
      </c>
      <c r="AU168">
        <v>4.8243471562203435E-5</v>
      </c>
      <c r="AW168" t="s">
        <v>225</v>
      </c>
      <c r="BC168" t="s">
        <v>17</v>
      </c>
      <c r="BD168">
        <v>50</v>
      </c>
      <c r="BE168" t="s">
        <v>253</v>
      </c>
    </row>
    <row r="169" spans="1:57" x14ac:dyDescent="0.45">
      <c r="A169" t="s">
        <v>120</v>
      </c>
      <c r="B169" t="s">
        <v>232</v>
      </c>
      <c r="D169" t="s">
        <v>233</v>
      </c>
      <c r="E169" t="s">
        <v>121</v>
      </c>
      <c r="G169" t="s">
        <v>234</v>
      </c>
      <c r="AA169">
        <v>0.32716552692864403</v>
      </c>
      <c r="AB169">
        <v>0.32716552692864403</v>
      </c>
      <c r="AC169">
        <v>0.32716552692864403</v>
      </c>
      <c r="AD169">
        <v>0.38993121914855439</v>
      </c>
      <c r="AE169">
        <v>0.38993121914855439</v>
      </c>
      <c r="AF169">
        <v>0.38993121914855439</v>
      </c>
      <c r="AG169">
        <v>0.36296639630843436</v>
      </c>
      <c r="AH169">
        <v>0.36296639630843436</v>
      </c>
      <c r="AI169">
        <v>0.36296639630843436</v>
      </c>
      <c r="AJ169">
        <v>2.2646342024999999</v>
      </c>
      <c r="AK169">
        <v>2.2646342024999999</v>
      </c>
      <c r="AL169">
        <v>2.2646342024999999</v>
      </c>
      <c r="AP169">
        <v>2.4628832053146373E-2</v>
      </c>
      <c r="AQ169">
        <v>2.4628832053146373E-2</v>
      </c>
      <c r="AR169">
        <v>2.4628832053146373E-2</v>
      </c>
      <c r="AS169">
        <v>6.0304339452754301E-5</v>
      </c>
      <c r="AT169">
        <v>6.0304339452754301E-5</v>
      </c>
      <c r="AU169">
        <v>6.0304339452754301E-5</v>
      </c>
      <c r="AW169" t="s">
        <v>225</v>
      </c>
      <c r="BC169" t="s">
        <v>17</v>
      </c>
      <c r="BD169">
        <v>50</v>
      </c>
      <c r="BE169" t="s">
        <v>253</v>
      </c>
    </row>
    <row r="170" spans="1:57" x14ac:dyDescent="0.45">
      <c r="A170" t="s">
        <v>53</v>
      </c>
      <c r="B170" t="s">
        <v>302</v>
      </c>
      <c r="D170" t="s">
        <v>303</v>
      </c>
      <c r="E170" t="s">
        <v>86</v>
      </c>
      <c r="F170" t="s">
        <v>351</v>
      </c>
      <c r="G170" t="s">
        <v>231</v>
      </c>
      <c r="AA170">
        <v>16.750874978746573</v>
      </c>
      <c r="AB170">
        <v>16.750874978746573</v>
      </c>
      <c r="AC170">
        <v>16.750874978746573</v>
      </c>
      <c r="AD170">
        <v>19.964478420405985</v>
      </c>
      <c r="AE170">
        <v>19.964478420405985</v>
      </c>
      <c r="AF170">
        <v>19.964478420405985</v>
      </c>
      <c r="AG170">
        <v>18.583879490991841</v>
      </c>
      <c r="AH170">
        <v>18.583879490991841</v>
      </c>
      <c r="AI170">
        <v>18.583879490991841</v>
      </c>
      <c r="AJ170">
        <v>115.94927116799998</v>
      </c>
      <c r="AK170">
        <v>115.94927116799998</v>
      </c>
      <c r="AL170">
        <v>115.94927116799998</v>
      </c>
      <c r="AP170">
        <v>1.2609962011210945</v>
      </c>
      <c r="AQ170">
        <v>1.2609962011210945</v>
      </c>
      <c r="AR170">
        <v>1.2609962011210945</v>
      </c>
      <c r="AS170">
        <v>3.0875821799810198E-3</v>
      </c>
      <c r="AT170">
        <v>3.0875821799810198E-3</v>
      </c>
      <c r="AU170">
        <v>3.0875821799810198E-3</v>
      </c>
      <c r="BC170" t="s">
        <v>17</v>
      </c>
      <c r="BD170">
        <v>100</v>
      </c>
      <c r="BE170" t="s">
        <v>253</v>
      </c>
    </row>
    <row r="171" spans="1:57" x14ac:dyDescent="0.45">
      <c r="A171" t="s">
        <v>87</v>
      </c>
      <c r="B171" t="s">
        <v>336</v>
      </c>
      <c r="D171" t="s">
        <v>10</v>
      </c>
      <c r="E171" t="s">
        <v>89</v>
      </c>
      <c r="F171" t="s">
        <v>353</v>
      </c>
      <c r="G171" t="s">
        <v>354</v>
      </c>
      <c r="AA171">
        <v>0</v>
      </c>
      <c r="AB171">
        <v>0</v>
      </c>
      <c r="AC171">
        <v>0</v>
      </c>
      <c r="AD171">
        <v>0</v>
      </c>
      <c r="AE171">
        <v>0</v>
      </c>
      <c r="AF171">
        <v>0</v>
      </c>
      <c r="AG171">
        <v>0</v>
      </c>
      <c r="AH171">
        <v>0</v>
      </c>
      <c r="AI171">
        <v>0</v>
      </c>
      <c r="AJ171">
        <v>0</v>
      </c>
      <c r="AK171">
        <v>0</v>
      </c>
      <c r="AL171">
        <v>0</v>
      </c>
      <c r="AP171">
        <v>0</v>
      </c>
      <c r="AQ171">
        <v>0</v>
      </c>
      <c r="AR171">
        <v>0</v>
      </c>
      <c r="AS171">
        <v>0</v>
      </c>
      <c r="AT171">
        <v>0</v>
      </c>
      <c r="AU171">
        <v>0</v>
      </c>
      <c r="BC171" t="s">
        <v>17</v>
      </c>
    </row>
    <row r="172" spans="1:57" x14ac:dyDescent="0.45">
      <c r="A172" t="s">
        <v>87</v>
      </c>
      <c r="B172" t="s">
        <v>222</v>
      </c>
      <c r="D172" t="s">
        <v>230</v>
      </c>
      <c r="E172" t="s">
        <v>109</v>
      </c>
      <c r="G172" t="s">
        <v>231</v>
      </c>
      <c r="AA172">
        <v>12.56315623405993</v>
      </c>
      <c r="AB172">
        <v>12.56315623405993</v>
      </c>
      <c r="AC172">
        <v>12.56315623405993</v>
      </c>
      <c r="AD172">
        <v>14.973358815304488</v>
      </c>
      <c r="AE172">
        <v>14.973358815304488</v>
      </c>
      <c r="AF172">
        <v>14.973358815304488</v>
      </c>
      <c r="AG172">
        <v>13.937909618243879</v>
      </c>
      <c r="AH172">
        <v>13.937909618243879</v>
      </c>
      <c r="AI172">
        <v>13.937909618243879</v>
      </c>
      <c r="AJ172">
        <v>86.961953375999997</v>
      </c>
      <c r="AK172">
        <v>86.961953375999997</v>
      </c>
      <c r="AL172">
        <v>86.961953375999997</v>
      </c>
      <c r="AP172">
        <v>0.94574715084082073</v>
      </c>
      <c r="AQ172">
        <v>0.94574715084082073</v>
      </c>
      <c r="AR172">
        <v>0.94574715084082073</v>
      </c>
      <c r="AS172">
        <v>2.3156866349857644E-3</v>
      </c>
      <c r="AT172">
        <v>2.3156866349857644E-3</v>
      </c>
      <c r="AU172">
        <v>2.3156866349857644E-3</v>
      </c>
      <c r="AW172" t="s">
        <v>225</v>
      </c>
      <c r="BC172" t="s">
        <v>17</v>
      </c>
      <c r="BD172">
        <v>100</v>
      </c>
      <c r="BE172" t="s">
        <v>253</v>
      </c>
    </row>
    <row r="173" spans="1:57" x14ac:dyDescent="0.45">
      <c r="A173" t="s">
        <v>120</v>
      </c>
      <c r="B173" t="s">
        <v>232</v>
      </c>
      <c r="D173" t="s">
        <v>235</v>
      </c>
      <c r="E173" t="s">
        <v>122</v>
      </c>
      <c r="G173" t="s">
        <v>236</v>
      </c>
      <c r="AA173">
        <v>1.3086621077145761</v>
      </c>
      <c r="AB173">
        <v>1.3086621077145761</v>
      </c>
      <c r="AC173">
        <v>1.3086621077145761</v>
      </c>
      <c r="AD173">
        <v>1.5597248765942175</v>
      </c>
      <c r="AE173">
        <v>1.5597248765942175</v>
      </c>
      <c r="AF173">
        <v>1.5597248765942175</v>
      </c>
      <c r="AG173">
        <v>1.4518655852337374</v>
      </c>
      <c r="AH173">
        <v>1.4518655852337374</v>
      </c>
      <c r="AI173">
        <v>1.4518655852337374</v>
      </c>
      <c r="AJ173">
        <v>9.0585368099999997</v>
      </c>
      <c r="AK173">
        <v>9.0585368099999997</v>
      </c>
      <c r="AL173">
        <v>9.0585368099999997</v>
      </c>
      <c r="AP173">
        <v>9.851532821258549E-2</v>
      </c>
      <c r="AQ173">
        <v>9.851532821258549E-2</v>
      </c>
      <c r="AR173">
        <v>9.851532821258549E-2</v>
      </c>
      <c r="AS173">
        <v>2.412173578110172E-4</v>
      </c>
      <c r="AT173">
        <v>2.412173578110172E-4</v>
      </c>
      <c r="AU173">
        <v>2.412173578110172E-4</v>
      </c>
      <c r="AW173" t="s">
        <v>225</v>
      </c>
      <c r="BC173" t="s">
        <v>17</v>
      </c>
      <c r="BD173">
        <v>200</v>
      </c>
      <c r="BE173" t="s">
        <v>253</v>
      </c>
    </row>
  </sheetData>
  <sheetProtection selectLockedCells="1" selectUnlockedCells="1"/>
  <phoneticPr fontId="9" type="noConversion"/>
  <pageMargins left="0.7" right="0.7" top="0.78740157499999996" bottom="0.78740157499999996" header="0.3" footer="0.3"/>
  <tableParts count="1">
    <tablePart r:id="rId1"/>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F33664-790B-4394-8FE1-F06F94EC1CEA}">
  <sheetPr codeName="Tabelle5"/>
  <dimension ref="A1:E11"/>
  <sheetViews>
    <sheetView workbookViewId="0">
      <selection activeCell="F12" sqref="F12"/>
    </sheetView>
  </sheetViews>
  <sheetFormatPr baseColWidth="10" defaultColWidth="11.46484375" defaultRowHeight="14.25" x14ac:dyDescent="0.45"/>
  <cols>
    <col min="1" max="1" width="15" customWidth="1"/>
  </cols>
  <sheetData>
    <row r="1" spans="1:5" x14ac:dyDescent="0.45">
      <c r="A1" t="s">
        <v>501</v>
      </c>
      <c r="C1" t="s">
        <v>502</v>
      </c>
      <c r="E1" t="s">
        <v>503</v>
      </c>
    </row>
    <row r="2" spans="1:5" x14ac:dyDescent="0.45">
      <c r="A2" t="s">
        <v>244</v>
      </c>
      <c r="C2" t="s">
        <v>244</v>
      </c>
      <c r="E2" t="s">
        <v>244</v>
      </c>
    </row>
    <row r="3" spans="1:5" x14ac:dyDescent="0.45">
      <c r="A3" s="26" t="s">
        <v>53</v>
      </c>
      <c r="C3" t="s">
        <v>228</v>
      </c>
      <c r="E3" t="s">
        <v>253</v>
      </c>
    </row>
    <row r="4" spans="1:5" x14ac:dyDescent="0.45">
      <c r="A4" s="25" t="s">
        <v>87</v>
      </c>
      <c r="C4" t="s">
        <v>225</v>
      </c>
      <c r="E4" t="s">
        <v>484</v>
      </c>
    </row>
    <row r="5" spans="1:5" x14ac:dyDescent="0.45">
      <c r="A5" t="s">
        <v>123</v>
      </c>
    </row>
    <row r="6" spans="1:5" x14ac:dyDescent="0.45">
      <c r="A6" s="26" t="s">
        <v>110</v>
      </c>
    </row>
    <row r="7" spans="1:5" x14ac:dyDescent="0.45">
      <c r="A7" s="27" t="s">
        <v>117</v>
      </c>
    </row>
    <row r="8" spans="1:5" x14ac:dyDescent="0.45">
      <c r="A8" t="s">
        <v>120</v>
      </c>
    </row>
    <row r="11" spans="1:5" x14ac:dyDescent="0.45">
      <c r="A11" s="28"/>
    </row>
  </sheetData>
  <pageMargins left="0.7" right="0.7" top="0.78740157499999996" bottom="0.78740157499999996" header="0.3" footer="0.3"/>
  <tableParts count="3">
    <tablePart r:id="rId1"/>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_rels/item11.xml.rels><?xml version="1.0" encoding="UTF-8" standalone="yes"?>
<Relationships xmlns="http://schemas.openxmlformats.org/package/2006/relationships"><Relationship Id="rId1" Type="http://schemas.openxmlformats.org/officeDocument/2006/relationships/customXmlProps" Target="itemProps11.xml"/></Relationships>
</file>

<file path=customXml/_rels/item12.xml.rels><?xml version="1.0" encoding="UTF-8" standalone="yes"?>
<Relationships xmlns="http://schemas.openxmlformats.org/package/2006/relationships"><Relationship Id="rId1" Type="http://schemas.openxmlformats.org/officeDocument/2006/relationships/customXmlProps" Target="itemProps12.xml"/></Relationships>
</file>

<file path=customXml/_rels/item13.xml.rels><?xml version="1.0" encoding="UTF-8" standalone="yes"?>
<Relationships xmlns="http://schemas.openxmlformats.org/package/2006/relationships"><Relationship Id="rId1" Type="http://schemas.openxmlformats.org/officeDocument/2006/relationships/customXmlProps" Target="itemProps13.xml"/></Relationships>
</file>

<file path=customXml/_rels/item14.xml.rels><?xml version="1.0" encoding="UTF-8" standalone="yes"?>
<Relationships xmlns="http://schemas.openxmlformats.org/package/2006/relationships"><Relationship Id="rId1" Type="http://schemas.openxmlformats.org/officeDocument/2006/relationships/customXmlProps" Target="itemProps14.xml"/></Relationships>
</file>

<file path=customXml/_rels/item15.xml.rels><?xml version="1.0" encoding="UTF-8" standalone="yes"?>
<Relationships xmlns="http://schemas.openxmlformats.org/package/2006/relationships"><Relationship Id="rId1" Type="http://schemas.openxmlformats.org/officeDocument/2006/relationships/customXmlProps" Target="itemProps15.xml"/></Relationships>
</file>

<file path=customXml/_rels/item16.xml.rels><?xml version="1.0" encoding="UTF-8" standalone="yes"?>
<Relationships xmlns="http://schemas.openxmlformats.org/package/2006/relationships"><Relationship Id="rId1" Type="http://schemas.openxmlformats.org/officeDocument/2006/relationships/customXmlProps" Target="itemProps16.xml"/></Relationships>
</file>

<file path=customXml/_rels/item17.xml.rels><?xml version="1.0" encoding="UTF-8" standalone="yes"?>
<Relationships xmlns="http://schemas.openxmlformats.org/package/2006/relationships"><Relationship Id="rId1" Type="http://schemas.openxmlformats.org/officeDocument/2006/relationships/customXmlProps" Target="itemProps17.xml"/></Relationships>
</file>

<file path=customXml/_rels/item18.xml.rels><?xml version="1.0" encoding="UTF-8" standalone="yes"?>
<Relationships xmlns="http://schemas.openxmlformats.org/package/2006/relationships"><Relationship Id="rId1" Type="http://schemas.openxmlformats.org/officeDocument/2006/relationships/customXmlProps" Target="itemProps18.xml"/></Relationships>
</file>

<file path=customXml/_rels/item19.xml.rels><?xml version="1.0" encoding="UTF-8" standalone="yes"?>
<Relationships xmlns="http://schemas.openxmlformats.org/package/2006/relationships"><Relationship Id="rId1" Type="http://schemas.openxmlformats.org/officeDocument/2006/relationships/customXmlProps" Target="itemProps19.xml"/></Relationships>
</file>

<file path=customXml/_rels/item20.xml.rels><?xml version="1.0" encoding="UTF-8" standalone="yes"?>
<Relationships xmlns="http://schemas.openxmlformats.org/package/2006/relationships"><Relationship Id="rId1" Type="http://schemas.openxmlformats.org/officeDocument/2006/relationships/customXmlProps" Target="itemProps20.xml"/></Relationships>
</file>

<file path=customXml/item1.xml>�� 
</file>

<file path=customXml/item2.xml>�� 
</file>

<file path=customXml/item3.xml><?xml version="1.0" encoding="utf-8"?>
<ct:contentTypeSchema xmlns:ct="http://schemas.microsoft.com/office/2006/metadata/contentType" xmlns:ma="http://schemas.microsoft.com/office/2006/metadata/properties/metaAttributes" ct:_="" ma:_="" ma:contentTypeName="Dokument" ma:contentTypeID="0x010100A2996EDAA0019C4E87514D9214BC20AC" ma:contentTypeVersion="14" ma:contentTypeDescription="Ein neues Dokument erstellen." ma:contentTypeScope="" ma:versionID="75443639091e5c4efbbff51f9bf74feb">
  <xsd:schema xmlns:xsd="http://www.w3.org/2001/XMLSchema" xmlns:xs="http://www.w3.org/2001/XMLSchema" xmlns:p="http://schemas.microsoft.com/office/2006/metadata/properties" xmlns:ns2="5224aa6f-31d5-46bd-89fb-76d76d376e4f" xmlns:ns3="d101221b-1835-47d3-91c6-7f394670bfe6" targetNamespace="http://schemas.microsoft.com/office/2006/metadata/properties" ma:root="true" ma:fieldsID="21f085a6ed43afd5b1c091f445228816" ns2:_="" ns3:_="">
    <xsd:import namespace="5224aa6f-31d5-46bd-89fb-76d76d376e4f"/>
    <xsd:import namespace="d101221b-1835-47d3-91c6-7f394670bfe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224aa6f-31d5-46bd-89fb-76d76d376e4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Bildmarkierungen" ma:readOnly="false" ma:fieldId="{5cf76f15-5ced-4ddc-b409-7134ff3c332f}" ma:taxonomyMulti="true" ma:sspId="c848a437-c8cb-49f6-af00-1869979f516e"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101221b-1835-47d3-91c6-7f394670bfe6"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f4740fd0-41a3-47f2-a4a5-f988a61ceaea}" ma:internalName="TaxCatchAll" ma:showField="CatchAllData" ma:web="d101221b-1835-47d3-91c6-7f394670bfe6">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Freigegeben fü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Freigegeben für -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 
</file>

<file path=customXml/item5.xml>�� 
</file>

<file path=customXml/item6.xml>�� 
</file>

<file path=customXml/item7.xml><?xml version="1.0" encoding="utf-8"?>
<p:properties xmlns:p="http://schemas.microsoft.com/office/2006/metadata/properties" xmlns:xsi="http://www.w3.org/2001/XMLSchema-instance" xmlns:pc="http://schemas.microsoft.com/office/infopath/2007/PartnerControls">
  <documentManagement>
    <TaxCatchAll xmlns="d101221b-1835-47d3-91c6-7f394670bfe6" xsi:nil="true"/>
    <lcf76f155ced4ddcb4097134ff3c332f xmlns="5224aa6f-31d5-46bd-89fb-76d76d376e4f">
      <Terms xmlns="http://schemas.microsoft.com/office/infopath/2007/PartnerControls"/>
    </lcf76f155ced4ddcb4097134ff3c332f>
  </documentManagement>
</p:properties>
</file>

<file path=customXml/item8.xml>�� 
</file>

<file path=customXml/item9.xml>�� 
</file>

<file path=customXml/item10.xml>�� 
</file>

<file path=customXml/item11.xml>�� 
</file>

<file path=customXml/item12.xml>�� 
</file>

<file path=customXml/item13.xml><?xml version="1.0" encoding="utf-8"?>
<?mso-contentType ?>
<FormTemplates xmlns="http://schemas.microsoft.com/sharepoint/v3/contenttype/forms">
  <Display>DocumentLibraryForm</Display>
  <Edit>DocumentLibraryForm</Edit>
  <New>DocumentLibraryForm</New>
</FormTemplates>
</file>

<file path=customXml/item14.xml>�� 
</file>

<file path=customXml/item15.xml>�� 
</file>

<file path=customXml/item16.xml>�� 
</file>

<file path=customXml/item17.xml>�� 
</file>

<file path=customXml/item18.xml>�� 
</file>

<file path=customXml/item19.xml>�� 
</file>

<file path=customXml/item20.xml>�� 
</file>

<file path=customXml/itemProps1.xml><?xml version="1.0" encoding="utf-8"?>
<ds:datastoreItem xmlns:ds="http://schemas.openxmlformats.org/officeDocument/2006/customXml" ds:itemID="{E78A1038-E66F-4896-B28C-835FE05AE59E}">
  <ds:schemaRefs>
    <ds:schemaRef ds:uri="http://schemas.microsoft.com/DataMashup"/>
  </ds:schemaRefs>
</ds:datastoreItem>
</file>

<file path=customXml/itemProps2.xml><?xml version="1.0" encoding="utf-8"?>
<ds:datastoreItem xmlns:ds="http://schemas.openxmlformats.org/officeDocument/2006/customXml" ds:itemID="{20CEC308-129D-4B3B-8311-8428298E86BB}">
  <ds:schemaRefs>
    <ds:schemaRef ds:uri="http://gemini/pivotcustomization/ShowImplicitMeasures"/>
  </ds:schemaRefs>
</ds:datastoreItem>
</file>

<file path=customXml/itemProps3.xml><?xml version="1.0" encoding="utf-8"?>
<ds:datastoreItem xmlns:ds="http://schemas.openxmlformats.org/officeDocument/2006/customXml" ds:itemID="{A0F8DDD2-5707-4E8F-8BE4-D1A443C41EB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224aa6f-31d5-46bd-89fb-76d76d376e4f"/>
    <ds:schemaRef ds:uri="d101221b-1835-47d3-91c6-7f394670bfe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316F5577-04B6-472D-AFFC-F2473E73B503}">
  <ds:schemaRefs>
    <ds:schemaRef ds:uri="http://gemini/pivotcustomization/FormulaBarState"/>
  </ds:schemaRefs>
</ds:datastoreItem>
</file>

<file path=customXml/itemProps5.xml><?xml version="1.0" encoding="utf-8"?>
<ds:datastoreItem xmlns:ds="http://schemas.openxmlformats.org/officeDocument/2006/customXml" ds:itemID="{A485A82A-64BD-4C48-BECC-A204261665FC}">
  <ds:schemaRefs>
    <ds:schemaRef ds:uri="http://gemini/pivotcustomization/ShowHidden"/>
  </ds:schemaRefs>
</ds:datastoreItem>
</file>

<file path=customXml/itemProps6.xml><?xml version="1.0" encoding="utf-8"?>
<ds:datastoreItem xmlns:ds="http://schemas.openxmlformats.org/officeDocument/2006/customXml" ds:itemID="{5AA32BF5-7C90-4612-AA22-054E8C5C30EA}">
  <ds:schemaRefs>
    <ds:schemaRef ds:uri="http://gemini/pivotcustomization/RelationshipAutoDetectionEnabled"/>
  </ds:schemaRefs>
</ds:datastoreItem>
</file>

<file path=customXml/itemProps7.xml><?xml version="1.0" encoding="utf-8"?>
<ds:datastoreItem xmlns:ds="http://schemas.openxmlformats.org/officeDocument/2006/customXml" ds:itemID="{A2F6CC7E-3DBF-4E6D-831E-31AC4F9E78F2}">
  <ds:schemaRefs>
    <ds:schemaRef ds:uri="http://schemas.microsoft.com/office/2006/metadata/properties"/>
    <ds:schemaRef ds:uri="http://schemas.microsoft.com/office/infopath/2007/PartnerControls"/>
    <ds:schemaRef ds:uri="d101221b-1835-47d3-91c6-7f394670bfe6"/>
    <ds:schemaRef ds:uri="5224aa6f-31d5-46bd-89fb-76d76d376e4f"/>
  </ds:schemaRefs>
</ds:datastoreItem>
</file>

<file path=customXml/itemProps8.xml><?xml version="1.0" encoding="utf-8"?>
<ds:datastoreItem xmlns:ds="http://schemas.openxmlformats.org/officeDocument/2006/customXml" ds:itemID="{B0E248AA-04A8-4F22-9657-46885CDE3CF5}">
  <ds:schemaRefs>
    <ds:schemaRef ds:uri="http://gemini/pivotcustomization/ManualCalcMode"/>
  </ds:schemaRefs>
</ds:datastoreItem>
</file>

<file path=customXml/itemProps9.xml><?xml version="1.0" encoding="utf-8"?>
<ds:datastoreItem xmlns:ds="http://schemas.openxmlformats.org/officeDocument/2006/customXml" ds:itemID="{181CE28D-6AEE-4360-A152-BBCA5A19D37C}">
  <ds:schemaRefs>
    <ds:schemaRef ds:uri="http://gemini/pivotcustomization/TableOrder"/>
  </ds:schemaRefs>
</ds:datastoreItem>
</file>

<file path=customXml/itemProps10.xml><?xml version="1.0" encoding="utf-8"?>
<ds:datastoreItem xmlns:ds="http://schemas.openxmlformats.org/officeDocument/2006/customXml" ds:itemID="{A6DCAF13-C949-4176-8580-C40D3EF84EF5}">
  <ds:schemaRefs>
    <ds:schemaRef ds:uri="http://gemini/pivotcustomization/TableWidget"/>
  </ds:schemaRefs>
</ds:datastoreItem>
</file>

<file path=customXml/itemProps11.xml><?xml version="1.0" encoding="utf-8"?>
<ds:datastoreItem xmlns:ds="http://schemas.openxmlformats.org/officeDocument/2006/customXml" ds:itemID="{F4046FAF-F977-4CBF-84D2-8BE56A3DA67D}">
  <ds:schemaRefs>
    <ds:schemaRef ds:uri="http://gemini/pivotcustomization/PowerPivotVersion"/>
  </ds:schemaRefs>
</ds:datastoreItem>
</file>

<file path=customXml/itemProps12.xml><?xml version="1.0" encoding="utf-8"?>
<ds:datastoreItem xmlns:ds="http://schemas.openxmlformats.org/officeDocument/2006/customXml" ds:itemID="{AC4D375A-505C-4C16-A383-49201B28993C}">
  <ds:schemaRefs>
    <ds:schemaRef ds:uri="http://gemini/pivotcustomization/TableXML_Baukon_alle_d360ce38-4ad0-4454-8dc7-c38f08f55a97"/>
  </ds:schemaRefs>
</ds:datastoreItem>
</file>

<file path=customXml/itemProps13.xml><?xml version="1.0" encoding="utf-8"?>
<ds:datastoreItem xmlns:ds="http://schemas.openxmlformats.org/officeDocument/2006/customXml" ds:itemID="{47222320-42F6-457E-8942-A14D86F6C595}">
  <ds:schemaRefs>
    <ds:schemaRef ds:uri="http://schemas.microsoft.com/sharepoint/v3/contenttype/forms"/>
  </ds:schemaRefs>
</ds:datastoreItem>
</file>

<file path=customXml/itemProps14.xml><?xml version="1.0" encoding="utf-8"?>
<ds:datastoreItem xmlns:ds="http://schemas.openxmlformats.org/officeDocument/2006/customXml" ds:itemID="{B071AAA6-EB01-4F2C-A38F-E6B1879993EB}">
  <ds:schemaRefs>
    <ds:schemaRef ds:uri="http://gemini/pivotcustomization/ClientWindowXML"/>
  </ds:schemaRefs>
</ds:datastoreItem>
</file>

<file path=customXml/itemProps15.xml><?xml version="1.0" encoding="utf-8"?>
<ds:datastoreItem xmlns:ds="http://schemas.openxmlformats.org/officeDocument/2006/customXml" ds:itemID="{D6E3BE0E-768E-4596-B791-D98794C310C6}">
  <ds:schemaRefs>
    <ds:schemaRef ds:uri="http://gemini/pivotcustomization/SandboxNonEmpty"/>
  </ds:schemaRefs>
</ds:datastoreItem>
</file>

<file path=customXml/itemProps16.xml><?xml version="1.0" encoding="utf-8"?>
<ds:datastoreItem xmlns:ds="http://schemas.openxmlformats.org/officeDocument/2006/customXml" ds:itemID="{D6DF5B19-0F09-45C0-B427-887C050BB0A6}">
  <ds:schemaRefs>
    <ds:schemaRef ds:uri="http://gemini/pivotcustomization/LinkedTableUpdateMode"/>
  </ds:schemaRefs>
</ds:datastoreItem>
</file>

<file path=customXml/itemProps17.xml><?xml version="1.0" encoding="utf-8"?>
<ds:datastoreItem xmlns:ds="http://schemas.openxmlformats.org/officeDocument/2006/customXml" ds:itemID="{F53B2575-6D36-4961-82EF-79F5F7BAE26E}">
  <ds:schemaRefs>
    <ds:schemaRef ds:uri="http://gemini/pivotcustomization/Diagrams"/>
  </ds:schemaRefs>
</ds:datastoreItem>
</file>

<file path=customXml/itemProps18.xml><?xml version="1.0" encoding="utf-8"?>
<ds:datastoreItem xmlns:ds="http://schemas.openxmlformats.org/officeDocument/2006/customXml" ds:itemID="{3A3BB39A-E4F6-449C-9416-3370C171D8E6}">
  <ds:schemaRefs>
    <ds:schemaRef ds:uri="http://gemini/pivotcustomization/IsSandboxEmbedded"/>
  </ds:schemaRefs>
</ds:datastoreItem>
</file>

<file path=customXml/itemProps19.xml><?xml version="1.0" encoding="utf-8"?>
<ds:datastoreItem xmlns:ds="http://schemas.openxmlformats.org/officeDocument/2006/customXml" ds:itemID="{B0FD45B7-DC5D-4505-A632-DE541017E8DF}">
  <ds:schemaRefs>
    <ds:schemaRef ds:uri="http://gemini/pivotcustomization/ErrorCache"/>
  </ds:schemaRefs>
</ds:datastoreItem>
</file>

<file path=customXml/itemProps20.xml><?xml version="1.0" encoding="utf-8"?>
<ds:datastoreItem xmlns:ds="http://schemas.openxmlformats.org/officeDocument/2006/customXml" ds:itemID="{972358EF-98D2-4B5E-890C-11F04DB317B6}">
  <ds:schemaRefs>
    <ds:schemaRef ds:uri="http://gemini/pivotcustomization/MeasureGridState"/>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11</vt:i4>
      </vt:variant>
      <vt:variant>
        <vt:lpstr>Benannte Bereiche</vt:lpstr>
      </vt:variant>
      <vt:variant>
        <vt:i4>5</vt:i4>
      </vt:variant>
    </vt:vector>
  </HeadingPairs>
  <TitlesOfParts>
    <vt:vector size="16" baseType="lpstr">
      <vt:lpstr>Dashboard</vt:lpstr>
      <vt:lpstr>Ausgabe Tabellen</vt:lpstr>
      <vt:lpstr>Eingabe Baukonstruktion</vt:lpstr>
      <vt:lpstr>Eingabe Transport</vt:lpstr>
      <vt:lpstr>Baukon_alle_A1-A3+A4</vt:lpstr>
      <vt:lpstr>Baukon_alle_A4_join</vt:lpstr>
      <vt:lpstr>Baukon_alle_A1-A3</vt:lpstr>
      <vt:lpstr>Materialdaten</vt:lpstr>
      <vt:lpstr>Vorlage Baukonstruktionen </vt:lpstr>
      <vt:lpstr>Anhang</vt:lpstr>
      <vt:lpstr>Listen</vt:lpstr>
      <vt:lpstr>'Ausgabe Tabellen'!Druckbereich</vt:lpstr>
      <vt:lpstr>Dashboard!Druckbereich</vt:lpstr>
      <vt:lpstr>'Eingabe Baukonstruktion'!Druckbereich</vt:lpstr>
      <vt:lpstr>Materialdaten!Druckbereich</vt:lpstr>
      <vt:lpstr>'Vorlage Baukonstruktionen '!Druckbereich</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Dilan Glanz;Hans G. Weishaar</dc:creator>
  <cp:keywords/>
  <dc:description/>
  <cp:lastModifiedBy>Mostert, Clemens, Prof. Dr.-Ing.</cp:lastModifiedBy>
  <cp:revision/>
  <dcterms:created xsi:type="dcterms:W3CDTF">2023-06-01T16:17:37Z</dcterms:created>
  <dcterms:modified xsi:type="dcterms:W3CDTF">2025-04-02T12:42:37Z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1b411800-e7d7-4a63-8779-e89056a0fd58</vt:lpwstr>
  </property>
  <property fmtid="{D5CDD505-2E9C-101B-9397-08002B2CF9AE}" pid="3" name="ConnectionInfosStorage">
    <vt:lpwstr>WorkbookXmlParts</vt:lpwstr>
  </property>
  <property fmtid="{D5CDD505-2E9C-101B-9397-08002B2CF9AE}" pid="4" name="ContentTypeId">
    <vt:lpwstr>0x010100A2996EDAA0019C4E87514D9214BC20AC</vt:lpwstr>
  </property>
  <property fmtid="{D5CDD505-2E9C-101B-9397-08002B2CF9AE}" pid="5" name="MediaServiceImageTags">
    <vt:lpwstr/>
  </property>
</Properties>
</file>